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EPURACION\DIFUSION Y COMUNICACION\Pagina web FCAS\EXCEL DISEÑO PTAR\"/>
    </mc:Choice>
  </mc:AlternateContent>
  <xr:revisionPtr revIDLastSave="0" documentId="13_ncr:1_{5C5CF513-2F17-4EBD-BFBE-E4CD9711B1E3}" xr6:coauthVersionLast="47" xr6:coauthVersionMax="47" xr10:uidLastSave="{00000000-0000-0000-0000-000000000000}"/>
  <bookViews>
    <workbookView xWindow="-120" yWindow="-120" windowWidth="19440" windowHeight="15000" xr2:uid="{E13A4560-926A-47CC-AC88-614C0C829B8A}"/>
  </bookViews>
  <sheets>
    <sheet name="0 - LÉEME" sheetId="2" r:id="rId1"/>
    <sheet name="0 - BASESP" sheetId="49" r:id="rId2"/>
    <sheet name="2.1 - RAFA" sheetId="23" r:id="rId3"/>
    <sheet name="PRECIOS OC (REF)" sheetId="70" r:id="rId4"/>
    <sheet name="PRECIOS EEM (REF)" sheetId="67" r:id="rId5"/>
  </sheets>
  <externalReferences>
    <externalReference r:id="rId6"/>
    <externalReference r:id="rId7"/>
  </externalReferences>
  <definedNames>
    <definedName name="AGITADORES" localSheetId="1">#REF!</definedName>
    <definedName name="AGITADORES" localSheetId="4">'PRECIOS EEM (REF)'!$A$3:$A$14</definedName>
    <definedName name="AGITADORES" localSheetId="3">#REF!</definedName>
    <definedName name="AGITADORES">#REF!</definedName>
    <definedName name="BOMBAS" localSheetId="1">#REF!+#REF!</definedName>
    <definedName name="BOMBAS" localSheetId="4">'PRECIOS EEM (REF)'!$A$24:$A$41+'PRECIOS EEM (REF)'!$A$24:$A$41</definedName>
    <definedName name="BOMBAS" localSheetId="3">#REF!+#REF!</definedName>
    <definedName name="BOMBAS">#REF!+#REF!</definedName>
    <definedName name="CANAL_PARSHALL" localSheetId="1">#REF!</definedName>
    <definedName name="CANAL_PARSHALL" localSheetId="4">'PRECIOS EEM (REF)'!$A$47:$A$54</definedName>
    <definedName name="CANAL_PARSHALL" localSheetId="3">#REF!</definedName>
    <definedName name="CANAL_PARSHALL">#REF!</definedName>
    <definedName name="COMPUERTA_AUTOMÁTICA" localSheetId="1">#REF!</definedName>
    <definedName name="COMPUERTA_AUTOMÁTICA" localSheetId="4">'PRECIOS EEM (REF)'!$A$55:$A$60</definedName>
    <definedName name="COMPUERTA_AUTOMÁTICA" localSheetId="3">#REF!</definedName>
    <definedName name="COMPUERTA_AUTOMÁTICA">#REF!</definedName>
    <definedName name="País" localSheetId="1">'0 - BASESP'!#REF!</definedName>
    <definedName name="País" localSheetId="3">#REF!</definedName>
    <definedName name="País">#REF!</definedName>
    <definedName name="pendiente">[1]Hoja1!$B$2:$B$4</definedName>
    <definedName name="PUENTE_DECANTADOR" localSheetId="1">#REF!</definedName>
    <definedName name="PUENTE_DECANTADOR" localSheetId="4">'PRECIOS EEM (REF)'!$A$79:$A$82</definedName>
    <definedName name="PUENTE_DECANTADOR" localSheetId="3">#REF!</definedName>
    <definedName name="PUENTE_DECANTADOR">#REF!</definedName>
    <definedName name="PUENTE_GRUA" localSheetId="1">#REF!</definedName>
    <definedName name="PUENTE_GRUA" localSheetId="4">'PRECIOS EEM (REF)'!$A$83:$A$84</definedName>
    <definedName name="PUENTE_GRUA" localSheetId="3">#REF!</definedName>
    <definedName name="PUENTE_GRUA">#REF!</definedName>
    <definedName name="REJA_FINOS_AUTOMÁTICA" localSheetId="1">#REF!</definedName>
    <definedName name="REJA_FINOS_AUTOMÁTICA" localSheetId="4">'PRECIOS EEM (REF)'!$A$94:$A$99</definedName>
    <definedName name="REJA_FINOS_AUTOMÁTICA" localSheetId="3">#REF!</definedName>
    <definedName name="REJA_FINOS_AUTOMÁTICA">#REF!</definedName>
    <definedName name="REJA_GRUESOS_AUTOMÁTICA" localSheetId="1">#REF!</definedName>
    <definedName name="REJA_GRUESOS_AUTOMÁTICA" localSheetId="4">'PRECIOS EEM (REF)'!$A$87:$A$90</definedName>
    <definedName name="REJA_GRUESOS_AUTOMÁTICA" localSheetId="3">#REF!</definedName>
    <definedName name="REJA_GRUESOS_AUTOMÁTICA">#REF!</definedName>
    <definedName name="SOPLANTES" localSheetId="1">#REF!</definedName>
    <definedName name="SOPLANTES" localSheetId="4">'PRECIOS EEM (REF)'!$A$106:$A$111</definedName>
    <definedName name="SOPLANTES" localSheetId="3">#REF!</definedName>
    <definedName name="SOPLANTES">#REF!</definedName>
    <definedName name="TIPO_TERRENO">'[2]0 - BP'!$A$24:$A$30</definedName>
    <definedName name="Tipologias" localSheetId="1">'0 - BASESP'!#REF!</definedName>
    <definedName name="tipologias">[1]Hoja1!$A$2:$A$4</definedName>
    <definedName name="Tipos_fangos" localSheetId="1">#REF!</definedName>
    <definedName name="Tipos_fangos" localSheetId="3">#REF!</definedName>
    <definedName name="Tipos_fang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0" i="23" l="1"/>
  <c r="D141" i="23" s="1"/>
  <c r="B30" i="49"/>
  <c r="B29" i="49" a="1"/>
  <c r="B29" i="49" s="1"/>
  <c r="B28" i="49"/>
  <c r="B20" i="23" l="1"/>
  <c r="B15" i="23"/>
  <c r="B16" i="23"/>
  <c r="B17" i="23"/>
  <c r="B14" i="23"/>
  <c r="B12" i="23"/>
  <c r="B11" i="23"/>
  <c r="B4" i="23"/>
  <c r="B2" i="23"/>
  <c r="B88" i="23"/>
  <c r="B87" i="23"/>
  <c r="B86" i="23"/>
  <c r="B111" i="23" l="1"/>
  <c r="B113" i="23" s="1"/>
  <c r="C131" i="23"/>
  <c r="C130" i="23"/>
  <c r="C127" i="23"/>
  <c r="C126" i="23"/>
  <c r="D49" i="23"/>
  <c r="B51" i="23"/>
  <c r="E51" i="23" s="1"/>
  <c r="B90" i="23"/>
  <c r="A125" i="23"/>
  <c r="C125" i="23" s="1"/>
  <c r="A128" i="23"/>
  <c r="C128" i="23" l="1"/>
  <c r="C129" i="23"/>
  <c r="B64" i="23" l="1"/>
  <c r="D48" i="23" l="1"/>
  <c r="B83" i="23" l="1"/>
  <c r="B93" i="23"/>
  <c r="B27" i="23"/>
  <c r="B77" i="23" s="1"/>
  <c r="B28" i="23"/>
  <c r="A132" i="23" l="1"/>
  <c r="C132" i="23" s="1"/>
  <c r="B109" i="23" l="1"/>
  <c r="B110" i="23" s="1"/>
  <c r="B10" i="23"/>
  <c r="B8" i="23"/>
  <c r="B13" i="23"/>
  <c r="B55" i="23" s="1"/>
  <c r="B58" i="23" s="1"/>
  <c r="B6" i="23" l="1"/>
  <c r="B76" i="23"/>
  <c r="A140" i="23" l="1"/>
  <c r="A138" i="23"/>
  <c r="A136" i="23"/>
  <c r="B3" i="23" l="1"/>
  <c r="B33" i="23" l="1"/>
  <c r="B32" i="23"/>
  <c r="B35" i="23" l="1"/>
  <c r="B36" i="23" s="1"/>
  <c r="B39" i="23" s="1"/>
  <c r="B37" i="23" l="1"/>
  <c r="B120" i="23"/>
  <c r="B139" i="23" s="1"/>
  <c r="D139" i="23" s="1"/>
  <c r="B40" i="23"/>
  <c r="B92" i="23" s="1"/>
  <c r="B96" i="23" s="1"/>
  <c r="B108" i="23"/>
  <c r="B136" i="23" s="1"/>
  <c r="D136" i="23" s="1"/>
  <c r="B38" i="23" l="1"/>
  <c r="B41" i="23" s="1"/>
  <c r="B45" i="23" s="1"/>
  <c r="B116" i="23"/>
  <c r="B94" i="23"/>
  <c r="B114" i="23"/>
  <c r="B115" i="23" s="1"/>
  <c r="B137" i="23" s="1"/>
  <c r="D137" i="23" s="1"/>
  <c r="B43" i="23" l="1"/>
  <c r="B105" i="23"/>
  <c r="B132" i="23" s="1"/>
  <c r="D132" i="23" s="1"/>
  <c r="B42" i="23"/>
  <c r="E42" i="23" s="1"/>
  <c r="B97" i="23"/>
  <c r="B98" i="23" s="1"/>
  <c r="B100" i="23" s="1"/>
  <c r="B99" i="23"/>
  <c r="B101" i="23" s="1"/>
  <c r="B104" i="23"/>
  <c r="B131" i="23" s="1"/>
  <c r="D131" i="23" s="1"/>
  <c r="B47" i="23"/>
  <c r="B46" i="23"/>
  <c r="E45" i="23"/>
  <c r="B138" i="23"/>
  <c r="D138" i="23" s="1"/>
  <c r="B50" i="23" l="1"/>
  <c r="B48" i="23"/>
  <c r="B71" i="23" s="1"/>
  <c r="B62" i="23" s="1"/>
  <c r="B81" i="23" s="1"/>
  <c r="B80" i="23" s="1"/>
  <c r="B49" i="23"/>
  <c r="B102" i="23"/>
  <c r="B129" i="23" s="1"/>
  <c r="D129" i="23" s="1"/>
  <c r="B103" i="23"/>
  <c r="B125" i="23"/>
  <c r="D125" i="23" s="1"/>
  <c r="B72" i="23" l="1"/>
  <c r="B60" i="23"/>
  <c r="B79" i="23" s="1"/>
  <c r="E46" i="23"/>
  <c r="E47" i="23"/>
  <c r="B130" i="23"/>
  <c r="D130" i="23" s="1"/>
  <c r="B128" i="23"/>
  <c r="D128" i="23" s="1"/>
  <c r="B126" i="23"/>
  <c r="D126" i="23" s="1"/>
  <c r="D142" i="23"/>
  <c r="B78" i="23" l="1"/>
  <c r="E49" i="23"/>
  <c r="B127" i="23"/>
  <c r="D127" i="23" s="1"/>
  <c r="D133" i="23" s="1"/>
  <c r="E50" i="23"/>
  <c r="E43" i="23"/>
  <c r="D134" i="23" l="1"/>
  <c r="B144" i="23" s="1"/>
  <c r="E48" i="23"/>
  <c r="B75" i="23" l="1"/>
  <c r="B73" i="23" l="1"/>
  <c r="B66" i="23" l="1"/>
  <c r="B68" i="23" s="1"/>
  <c r="B119" i="23" s="1"/>
  <c r="B121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LOPEZ MONLLOR CARLOS</author>
    <author>Ana Tejero Andrés</author>
  </authors>
  <commentList>
    <comment ref="A6" authorId="0" shapeId="0" xr:uid="{A7A9A86A-023A-4383-9336-F1492E84C3C1}">
      <text>
        <r>
          <rPr>
            <sz val="11"/>
            <color theme="1"/>
            <rFont val="Calibri"/>
            <family val="2"/>
            <scheme val="minor"/>
          </rPr>
          <t xml:space="preserve">Se definen dos escenarios:
- Época seca
- Época de lluvias
La diferencia entre ambos es que en época de lluvias se consideran las conexiones erradas y en época seca no.
Para cada uno de los escenarios se definen los siguientes caudales
- Caudal mínimo
- Caudal medio
- Caudal máximo
A efectos de diseño se consideran:
- Qmin: el caudal mínimo en época seca
- Qm: el caudal medio en época de lluvias
-Qp: el caudal máximo en época de lluvias
</t>
        </r>
      </text>
    </comment>
    <comment ref="A9" authorId="1" shapeId="0" xr:uid="{E5F6EFC6-B32C-4A6E-A28D-E4EEDC4B4F4D}">
      <text>
        <r>
          <rPr>
            <b/>
            <sz val="9"/>
            <color indexed="81"/>
            <rFont val="Tahoma"/>
            <family val="2"/>
          </rPr>
          <t xml:space="preserve">= Qpd + Qinf + Qerr (CD)
</t>
        </r>
        <r>
          <rPr>
            <sz val="9"/>
            <color indexed="81"/>
            <rFont val="Tahoma"/>
            <family val="2"/>
          </rPr>
          <t xml:space="preserve">
Qpd= caudal punta domestico
Qinf= caudal infiltración
Qerr= caudal conexiones erradas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Tejero Andrés</author>
    <author>CEDEX</author>
    <author>LOPEZ MONLLOR CARLOS</author>
    <author>TEJERO ANDRES ANA</author>
  </authors>
  <commentList>
    <comment ref="B5" authorId="0" shapeId="0" xr:uid="{BC811666-8748-46CA-9E57-04C34637F449}">
      <text>
        <r>
          <rPr>
            <sz val="9"/>
            <color indexed="81"/>
            <rFont val="Tahoma"/>
            <family val="2"/>
          </rPr>
          <t xml:space="preserve">1,2-1,5 (NB688 p 50)
</t>
        </r>
      </text>
    </comment>
    <comment ref="B7" authorId="0" shapeId="0" xr:uid="{061DF545-7FB8-45A5-839A-367704B25FE0}">
      <text>
        <r>
          <rPr>
            <sz val="9"/>
            <color indexed="81"/>
            <rFont val="Tahoma"/>
            <family val="2"/>
          </rPr>
          <t>85-95% (CD)</t>
        </r>
      </text>
    </comment>
    <comment ref="B9" authorId="0" shapeId="0" xr:uid="{CC912AC3-AD09-426D-B304-442D0091ECF1}">
      <text>
        <r>
          <rPr>
            <sz val="9"/>
            <color indexed="81"/>
            <rFont val="Tahoma"/>
            <family val="2"/>
          </rPr>
          <t xml:space="preserve">60-80%(CD)
</t>
        </r>
      </text>
    </comment>
    <comment ref="D27" authorId="1" shapeId="0" xr:uid="{ABDEDB0A-2A56-43C9-A6F8-0DBBC541C641}">
      <text>
        <r>
          <rPr>
            <sz val="9"/>
            <color indexed="81"/>
            <rFont val="Tahoma"/>
            <family val="2"/>
          </rPr>
          <t>La tabla se encuentra al final de la hoja</t>
        </r>
      </text>
    </comment>
    <comment ref="D28" authorId="1" shapeId="0" xr:uid="{47405755-8C58-4527-8B72-2E293F844A41}">
      <text>
        <r>
          <rPr>
            <sz val="9"/>
            <color indexed="81"/>
            <rFont val="Tahoma"/>
            <family val="2"/>
          </rPr>
          <t>La tabla se encuentra al final de la hoja</t>
        </r>
      </text>
    </comment>
    <comment ref="B30" authorId="2" shapeId="0" xr:uid="{91FEBE22-DE87-4D70-A482-75F557BD9AF4}">
      <text>
        <r>
          <rPr>
            <sz val="11"/>
            <color theme="1"/>
            <rFont val="Calibri"/>
            <family val="2"/>
            <scheme val="minor"/>
          </rPr>
          <t>Poner siempre números enteros, para que el número de distribuidores sea coherente</t>
        </r>
      </text>
    </comment>
    <comment ref="D51" authorId="1" shapeId="0" xr:uid="{6A51E767-6CF0-44FA-B1F3-2747586510B8}">
      <text>
        <r>
          <rPr>
            <sz val="9"/>
            <color indexed="81"/>
            <rFont val="Tahoma"/>
            <family val="2"/>
          </rPr>
          <t>Aunque frecuentemente en la bibliografía se cite el umbral de 15ºC como el límite mínimo prefiriere establecerse en 16ºC (AECID)</t>
        </r>
      </text>
    </comment>
    <comment ref="A55" authorId="0" shapeId="0" xr:uid="{34BD3DF6-9EC0-40DC-95CC-9DDE1C307933}">
      <text>
        <r>
          <rPr>
            <sz val="9"/>
            <color indexed="81"/>
            <rFont val="Tahoma"/>
            <family val="2"/>
          </rPr>
          <t xml:space="preserve">Incluidos también los lodos adicionados sin digerir procedentes de otros procesos (si aplicara)
</t>
        </r>
      </text>
    </comment>
    <comment ref="B58" authorId="2" shapeId="0" xr:uid="{50DBD951-96C6-4861-9D0F-1CA19DCB5954}">
      <text>
        <r>
          <rPr>
            <sz val="11"/>
            <color theme="1"/>
            <rFont val="Calibri"/>
            <family val="2"/>
            <scheme val="minor"/>
          </rPr>
          <t>Se considera una densidad para el lodo de 1,020 kg/L (Según DAE p 41 estaría en el rango 1,020-1,040)</t>
        </r>
      </text>
    </comment>
    <comment ref="A64" authorId="0" shapeId="0" xr:uid="{F952D36E-B22E-4977-BB53-C916B2B2CC19}">
      <text>
        <r>
          <rPr>
            <sz val="9"/>
            <color indexed="81"/>
            <rFont val="Tahoma"/>
            <family val="2"/>
          </rPr>
          <t xml:space="preserve">Se divide entre 5 para optimizar el Tiempo de Retencion de Sólidos
</t>
        </r>
      </text>
    </comment>
    <comment ref="A66" authorId="0" shapeId="0" xr:uid="{66297008-6D25-4F46-BAE1-B249648F0722}">
      <text>
        <r>
          <rPr>
            <sz val="9"/>
            <color indexed="81"/>
            <rFont val="Tahoma"/>
            <family val="2"/>
          </rPr>
          <t xml:space="preserve">El procedimiento de cálculo está adaptado de IWA p 757-758, considerando además las pérdidas de metano en fase gaseosa como gas residual, las pérdidas de metano en fase líquida disuelto en el efluente y otras pérdidas de metano en fase gas (ProBio1)
</t>
        </r>
      </text>
    </comment>
    <comment ref="B71" authorId="3" shapeId="0" xr:uid="{0C26246E-8E98-4A1B-A651-864B337651E7}">
      <text>
        <r>
          <rPr>
            <sz val="11"/>
            <color theme="1"/>
            <rFont val="Calibri"/>
            <family val="2"/>
            <scheme val="minor"/>
          </rPr>
          <t>procedimiento de cálculo según lo establecido en la referencia IWA p 752, pero limitado a 80% como rendimiento máximo</t>
        </r>
      </text>
    </comment>
    <comment ref="D74" authorId="2" shapeId="0" xr:uid="{EE21F6B0-8310-4865-99E1-8AC619DC9DCA}">
      <text>
        <r>
          <rPr>
            <sz val="11"/>
            <color theme="1"/>
            <rFont val="Calibri"/>
            <family val="2"/>
            <scheme val="minor"/>
          </rPr>
          <t>Obtenido de las fórmulas rdtos de DBO5 y DQO de la referencia IWA p 751</t>
        </r>
      </text>
    </comment>
    <comment ref="B76" authorId="0" shapeId="0" xr:uid="{DEA8F585-2A64-453D-80B5-C898CABAEE34}">
      <text>
        <r>
          <rPr>
            <sz val="11"/>
            <color theme="1"/>
            <rFont val="Calibri"/>
            <family val="2"/>
            <scheme val="minor"/>
          </rPr>
          <t xml:space="preserve">procedimiento de cálculo según lo establecido en la referencia IWA p 752
</t>
        </r>
      </text>
    </comment>
    <comment ref="B83" authorId="0" shapeId="0" xr:uid="{7A0F1170-E69B-4ED1-BF7C-D4756128B1C5}">
      <text>
        <r>
          <rPr>
            <sz val="9"/>
            <color indexed="81"/>
            <rFont val="Tahoma"/>
            <family val="2"/>
          </rPr>
          <t>Fórmula solamente apta para valores de 0,5 Ulog y números enteros Ulog</t>
        </r>
      </text>
    </comment>
    <comment ref="A89" authorId="3" shapeId="0" xr:uid="{CF2BDABC-23E3-45F4-876A-9B8EE9A166E5}">
      <text>
        <r>
          <rPr>
            <sz val="11"/>
            <color theme="1"/>
            <rFont val="Calibri"/>
            <family val="2"/>
            <scheme val="minor"/>
          </rPr>
          <t>unidades preparadas para entrar en funcionamiento en fases futuras, es decir unidades a las que se construye la obra civil, pero que no se incorporan equipos electromecánicos.</t>
        </r>
      </text>
    </comment>
    <comment ref="A90" authorId="3" shapeId="0" xr:uid="{21EC8CAA-5F7C-4263-9C5A-B365C64635B6}">
      <text>
        <r>
          <rPr>
            <sz val="11"/>
            <color theme="1"/>
            <rFont val="Calibri"/>
            <family val="2"/>
            <scheme val="minor"/>
          </rPr>
          <t>Nº unidades para las que se construye la obra civil:
Nº Uds en funcionamiento + Nº Uds para fases futuras</t>
        </r>
      </text>
    </comment>
    <comment ref="D96" authorId="2" shapeId="0" xr:uid="{4D36EEDE-D89C-4D63-9314-E1729E675108}">
      <text>
        <r>
          <rPr>
            <sz val="11"/>
            <color theme="1"/>
            <rFont val="Calibri"/>
            <family val="2"/>
            <scheme val="minor"/>
          </rPr>
          <t>1,5 metros sobre cota de terreno para que haya presión suficiente para extraer los lodos por gravedad (ver esquema de proceso al final de la hoja)</t>
        </r>
      </text>
    </comment>
    <comment ref="B118" authorId="2" shapeId="0" xr:uid="{DBB452B0-51DF-43C3-9FB6-03D5E0E166D3}">
      <text>
        <r>
          <rPr>
            <sz val="11"/>
            <color theme="1"/>
            <rFont val="Calibri"/>
            <family val="2"/>
            <scheme val="minor"/>
          </rPr>
          <t>En la práctica, y salvo en PTAR muy grandes, el diámetro de la tubería va a ser siempre 75 mm</t>
        </r>
      </text>
    </comment>
    <comment ref="B119" authorId="2" shapeId="0" xr:uid="{86492AF6-FFBC-4506-971A-0B7AC133957E}">
      <text>
        <r>
          <rPr>
            <sz val="11"/>
            <color theme="1"/>
            <rFont val="Calibri"/>
            <family val="2"/>
            <scheme val="minor"/>
          </rPr>
          <t>Se considera para el cálculo de la velocidad un hipotético caudal máximo, del doble del medio</t>
        </r>
      </text>
    </comment>
    <comment ref="B120" authorId="2" shapeId="0" xr:uid="{C15CA31B-F1B9-4CFB-8FD5-E33E2F367676}">
      <text>
        <r>
          <rPr>
            <sz val="11"/>
            <color theme="1"/>
            <rFont val="Calibri"/>
            <family val="2"/>
            <scheme val="minor"/>
          </rPr>
          <t>Se considera una tubería perpendicular al largo del reactor y cuya distancia es igual al ancho de cada reactor multiplicado por el número de reactores y sumados 40 metros para salvar la altura del reactor y que la antorcha se sitúe a una distancia suficientemente alejada de los RAFA por seguridad</t>
        </r>
      </text>
    </comment>
    <comment ref="B121" authorId="2" shapeId="0" xr:uid="{1119B51F-4E86-49B4-A027-B5117AD5A7C6}">
      <text>
        <r>
          <rPr>
            <sz val="11"/>
            <color theme="1"/>
            <rFont val="Calibri"/>
            <family val="2"/>
            <scheme val="minor"/>
          </rPr>
          <t>Se considera una antorcha con la capacidad de quemar el doble del biogás generado</t>
        </r>
      </text>
    </comment>
    <comment ref="A127" authorId="2" shapeId="0" xr:uid="{4D4F9973-4A14-4BD8-A155-660D4E1DB63D}">
      <text>
        <r>
          <rPr>
            <sz val="11"/>
            <color theme="1"/>
            <rFont val="Calibri"/>
            <family val="2"/>
            <scheme val="minor"/>
          </rPr>
          <t>Incluye el distribuidor</t>
        </r>
      </text>
    </comment>
    <comment ref="A138" authorId="0" shapeId="0" xr:uid="{8A533516-F9D2-431C-9378-6A057EF5021C}">
      <text>
        <r>
          <rPr>
            <sz val="9"/>
            <color indexed="81"/>
            <rFont val="Tahoma"/>
            <family val="2"/>
          </rPr>
          <t xml:space="preserve">incluye los costes de componentes metálicos, pintura, etc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Tejero Andrés</author>
    <author>TEJERO ANDRES ANA</author>
  </authors>
  <commentList>
    <comment ref="A45" authorId="0" shapeId="0" xr:uid="{5E1BE2D5-C20B-469B-95F4-F0265B99BAF2}">
      <text>
        <r>
          <rPr>
            <sz val="9"/>
            <color indexed="81"/>
            <rFont val="Tahoma"/>
            <family val="2"/>
          </rPr>
          <t xml:space="preserve">Incluye la campana tranquilizadora
</t>
        </r>
      </text>
    </comment>
    <comment ref="A78" authorId="0" shapeId="0" xr:uid="{DE048E70-18F1-4343-ABE6-F048AF701AEF}">
      <text>
        <r>
          <rPr>
            <sz val="9"/>
            <color indexed="81"/>
            <rFont val="Tahoma"/>
            <family val="2"/>
          </rPr>
          <t xml:space="preserve">4 m3/h, discos de 9"
</t>
        </r>
      </text>
    </comment>
    <comment ref="A136" authorId="0" shapeId="0" xr:uid="{71492ACE-589F-41BB-A36F-C26C551FB58B}">
      <text>
        <r>
          <rPr>
            <sz val="9"/>
            <color indexed="81"/>
            <rFont val="Tahoma"/>
            <family val="2"/>
          </rPr>
          <t xml:space="preserve">Superficie específica 100-200 m2/m3
</t>
        </r>
      </text>
    </comment>
    <comment ref="A137" authorId="0" shapeId="0" xr:uid="{7F0C7B4A-B4CB-4710-9539-445F912463D2}">
      <text>
        <r>
          <rPr>
            <sz val="9"/>
            <color indexed="81"/>
            <rFont val="Tahoma"/>
            <family val="2"/>
          </rPr>
          <t xml:space="preserve">4-6 cm
</t>
        </r>
      </text>
    </comment>
    <comment ref="A164" authorId="1" shapeId="0" xr:uid="{DB17A5F7-0D6F-4834-9015-BD5B423D6EA7}">
      <text>
        <r>
          <rPr>
            <sz val="11"/>
            <color theme="1"/>
            <rFont val="Calibri"/>
            <family val="2"/>
            <scheme val="minor"/>
          </rPr>
          <t xml:space="preserve">Costes asociados: pintura, componenetes metálicos ...
</t>
        </r>
      </text>
    </comment>
    <comment ref="A165" authorId="0" shapeId="0" xr:uid="{B937F074-7824-43C0-B348-5138665385AB}">
      <text>
        <r>
          <rPr>
            <sz val="9"/>
            <color indexed="81"/>
            <rFont val="Tahoma"/>
            <family val="2"/>
          </rPr>
          <t xml:space="preserve">incluye campana tranquilizadora, deflector y  bandeja de vertedero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<sst xmlns="http://schemas.openxmlformats.org/spreadsheetml/2006/main" count="811" uniqueCount="475">
  <si>
    <t>Formato celdas</t>
  </si>
  <si>
    <t>1) Celdas de valor</t>
  </si>
  <si>
    <t>Formato 1</t>
  </si>
  <si>
    <t>Datos introducidos manualmente</t>
  </si>
  <si>
    <t>Formato 2</t>
  </si>
  <si>
    <t>Datos introducidos manualmente, que resultan claves para el funcionamiento de la hoja de cálculo</t>
  </si>
  <si>
    <t>Formato 3</t>
  </si>
  <si>
    <t>Datos que provienen de otra pestaña</t>
  </si>
  <si>
    <t>Formato 4</t>
  </si>
  <si>
    <t>Datos calculados genéricos</t>
  </si>
  <si>
    <t>Formato 5</t>
  </si>
  <si>
    <t>Datos calculados que son los resultados que interesa resaltar del cuadro/subrecuadro/apartado en cuestión</t>
  </si>
  <si>
    <t>2) Celdas de comprobación</t>
  </si>
  <si>
    <t>Se encuentra dentro del rango establecido</t>
  </si>
  <si>
    <t>Se sale del rango establecido</t>
  </si>
  <si>
    <t>Especifica información sobre % de exceso de volumen o superficie con respecto a los mínimos requeridos</t>
  </si>
  <si>
    <t>DATOS GENERALES</t>
  </si>
  <si>
    <t>Valor</t>
  </si>
  <si>
    <t xml:space="preserve">Unidades </t>
  </si>
  <si>
    <t>Recomendaciones y observaciones</t>
  </si>
  <si>
    <t>Comprobaciones</t>
  </si>
  <si>
    <t>Población</t>
  </si>
  <si>
    <t>hab</t>
  </si>
  <si>
    <t>Temperatura media mes más frio agua</t>
  </si>
  <si>
    <t>ºC</t>
  </si>
  <si>
    <t>Temperatura media mes más cálido agua</t>
  </si>
  <si>
    <t>Altitud</t>
  </si>
  <si>
    <t>m.s.n.m</t>
  </si>
  <si>
    <t>CAUDALES</t>
  </si>
  <si>
    <t>Caudal mínimo en época seca (Qmin)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</si>
  <si>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</t>
    </r>
  </si>
  <si>
    <t>Caudal medio en época de lluvias (Qm)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</si>
  <si>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/d</t>
    </r>
  </si>
  <si>
    <t>Caudal punta en época de lluvias (Qp)</t>
  </si>
  <si>
    <t>Caudal máximo que soporta la PTAR</t>
  </si>
  <si>
    <t>Caudal máximo de llegada a la PTAR (Qmax)</t>
  </si>
  <si>
    <t>Se considera el doble del Qp</t>
  </si>
  <si>
    <t>CONCENTRACIONES INFLUENTE A CAUDAL MEDIO</t>
  </si>
  <si>
    <r>
      <t>[DBO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]</t>
    </r>
  </si>
  <si>
    <t>mg/L</t>
  </si>
  <si>
    <t>[DQO]</t>
  </si>
  <si>
    <t>[SS]</t>
  </si>
  <si>
    <t>[NT]</t>
  </si>
  <si>
    <t>[PT]</t>
  </si>
  <si>
    <t>[CF]</t>
  </si>
  <si>
    <t>ufc/100 mL</t>
  </si>
  <si>
    <t>CONCENTRACIONES REQUERIDAS EFLUENTE</t>
  </si>
  <si>
    <t>CARACTERÍSTICAS DEL TERRENO Y DE LA RED DE SANEAMIENTO</t>
  </si>
  <si>
    <t>Profundidad de la red de saneamiento</t>
  </si>
  <si>
    <t>m</t>
  </si>
  <si>
    <t>Tipologia del terreno</t>
  </si>
  <si>
    <t>Coeficiente terreno</t>
  </si>
  <si>
    <t>Tierra = 1;  Roca = 2</t>
  </si>
  <si>
    <t>Coeficiente pendiente</t>
  </si>
  <si>
    <t>Llano = 1; Pdte suave = 2; Pdte fuerte = 3</t>
  </si>
  <si>
    <t>Coeficiente nivel freático</t>
  </si>
  <si>
    <t>Bajo = 1; Alto = 2</t>
  </si>
  <si>
    <t>España</t>
  </si>
  <si>
    <t>El Salvador</t>
  </si>
  <si>
    <t>Argentina</t>
  </si>
  <si>
    <t>Bolivia</t>
  </si>
  <si>
    <t>Panama</t>
  </si>
  <si>
    <t>Cuba</t>
  </si>
  <si>
    <t>Si</t>
  </si>
  <si>
    <t>Roca Inclinado</t>
  </si>
  <si>
    <t>Roca llano</t>
  </si>
  <si>
    <t>PARAMETROS DE DISEÑO</t>
  </si>
  <si>
    <t>m/s</t>
  </si>
  <si>
    <t>OTROS PARAMETROS REQUERIDOS</t>
  </si>
  <si>
    <t>Número de unidades en funcionamiento</t>
  </si>
  <si>
    <t>Ud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</si>
  <si>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</si>
  <si>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PARAMETROS DE FUNCIONAMIENTO</t>
  </si>
  <si>
    <t>MEDICIONES DE OBRA CIVIL</t>
  </si>
  <si>
    <t>Tierra = 1; Roca = 2</t>
  </si>
  <si>
    <t>Llano = 1, Pdte suave = 2, Pdte fuerte =3</t>
  </si>
  <si>
    <t>Bajo = 1; Alto =2</t>
  </si>
  <si>
    <t>Número de unidades para fases futuras</t>
  </si>
  <si>
    <t>Número de unidades a construir</t>
  </si>
  <si>
    <r>
      <rPr>
        <sz val="11"/>
        <color rgb="FF000000"/>
        <rFont val="Calibri"/>
        <family val="2"/>
      </rPr>
      <t xml:space="preserve">≥ 0,3 m </t>
    </r>
    <r>
      <rPr>
        <sz val="11"/>
        <color rgb="FFED7D31"/>
        <rFont val="Calibri"/>
        <family val="2"/>
      </rPr>
      <t>(CD)</t>
    </r>
  </si>
  <si>
    <t>Superficie en planta de obra civil</t>
  </si>
  <si>
    <t>Hormigón solera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</si>
  <si>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</si>
  <si>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Hormigón muros</t>
  </si>
  <si>
    <t>Acero</t>
  </si>
  <si>
    <t>kg</t>
  </si>
  <si>
    <r>
      <t xml:space="preserve">120 kg/Tm hormigón </t>
    </r>
    <r>
      <rPr>
        <sz val="11"/>
        <color rgb="FFED7D31"/>
        <rFont val="Calibri"/>
        <family val="2"/>
        <scheme val="minor"/>
      </rPr>
      <t>(CD)</t>
    </r>
  </si>
  <si>
    <t>Encofrado plano</t>
  </si>
  <si>
    <t>EQUIPOS ELECTROMECÁNICOS</t>
  </si>
  <si>
    <t>COSTOS INVERSIÓN</t>
  </si>
  <si>
    <t>OBRA CIVIL</t>
  </si>
  <si>
    <t>Medición</t>
  </si>
  <si>
    <t>Precio unitario</t>
  </si>
  <si>
    <t xml:space="preserve">Costo </t>
  </si>
  <si>
    <t>Barandillas, accesos, etc</t>
  </si>
  <si>
    <t>TOTAL OBRA CIVIL</t>
  </si>
  <si>
    <t>Unidades</t>
  </si>
  <si>
    <t>Costo</t>
  </si>
  <si>
    <t>Electricidad</t>
  </si>
  <si>
    <t>TOTAL EQUIPOS ELECTROMECÁNICOS</t>
  </si>
  <si>
    <t>COSTO TOTAL</t>
  </si>
  <si>
    <t>Costo total inversión</t>
  </si>
  <si>
    <t>REFERENCIAS</t>
  </si>
  <si>
    <t>DATOS  DE DISEÑO</t>
  </si>
  <si>
    <t>No</t>
  </si>
  <si>
    <t>Tiempo de retención hidráulico (TRH) a Qm</t>
  </si>
  <si>
    <t>Relación L/A</t>
  </si>
  <si>
    <t>Superficie útil en funcionamiento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</si>
  <si>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</si>
  <si>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Volumen útil en funcionamiento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</si>
  <si>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</si>
  <si>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Carga superficial a Qm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</si>
  <si>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/h</t>
    </r>
  </si>
  <si>
    <t>PRODUCCIONES</t>
  </si>
  <si>
    <t>Hormigón arquetas</t>
  </si>
  <si>
    <t>Excavación</t>
  </si>
  <si>
    <r>
      <rPr>
        <sz val="11"/>
        <color rgb="FF000000"/>
        <rFont val="Calibri"/>
        <family val="2"/>
      </rPr>
      <t>Velocidad ≤ 1 m/s</t>
    </r>
    <r>
      <rPr>
        <sz val="11"/>
        <color rgb="FFED7D31"/>
        <rFont val="Calibri"/>
        <family val="2"/>
      </rPr>
      <t xml:space="preserve"> (CD)</t>
    </r>
  </si>
  <si>
    <t>m ancho</t>
  </si>
  <si>
    <t>m alto</t>
  </si>
  <si>
    <t>CRITERIOS DE MODULACIÓN Y DISEÑO ADICIONALES A LOS INDICADOS EN LAS RECOMENDACIONES DE DISEÑO</t>
  </si>
  <si>
    <t>CRITERIOS Y APROXIMACIONES CONSTRUCTIVAS  ADICIONALES A LOS INDICADOS EN LAS RECOMENDACIONES DE DISEÑO</t>
  </si>
  <si>
    <t>Hormigón arquetas: 10% del hormigón solera</t>
  </si>
  <si>
    <t>Las compuertas tienen un ancho mínimo de 0,3 m y  se diseñan para una velocidad ≤ 1 m/s</t>
  </si>
  <si>
    <t>m2</t>
  </si>
  <si>
    <t>Anchura adoptada (A)</t>
  </si>
  <si>
    <t>Longitud adoptada (L)</t>
  </si>
  <si>
    <t>Altura adoptada (H)</t>
  </si>
  <si>
    <t>Altura obra civil</t>
  </si>
  <si>
    <t>Volumen mínimo necesario</t>
  </si>
  <si>
    <t>Longitud</t>
  </si>
  <si>
    <t>Altura</t>
  </si>
  <si>
    <t>Espesor de solera</t>
  </si>
  <si>
    <t>Espesor de muros</t>
  </si>
  <si>
    <t>Superficie mínima necesaria</t>
  </si>
  <si>
    <t>Anchura</t>
  </si>
  <si>
    <t>Qmaxd/Qm</t>
  </si>
  <si>
    <t>Caudal máximo diario (Qmaxd)</t>
  </si>
  <si>
    <t>Qmax3h/Qp</t>
  </si>
  <si>
    <t>Caudal punta cada 2-4 horas (Qmax3h)</t>
  </si>
  <si>
    <t>Qmax5h/Qp</t>
  </si>
  <si>
    <t>Caudal punta cada 4-6 horas (Qmax5h)</t>
  </si>
  <si>
    <r>
      <t>[DBO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]</t>
    </r>
    <r>
      <rPr>
        <vertAlign val="subscript"/>
        <sz val="11"/>
        <color rgb="FF000000"/>
        <rFont val="Calibri"/>
        <family val="2"/>
        <scheme val="minor"/>
      </rPr>
      <t>e</t>
    </r>
  </si>
  <si>
    <r>
      <t>[DQO]</t>
    </r>
    <r>
      <rPr>
        <vertAlign val="subscript"/>
        <sz val="11"/>
        <color rgb="FF000000"/>
        <rFont val="Calibri"/>
        <family val="2"/>
        <scheme val="minor"/>
      </rPr>
      <t>e</t>
    </r>
  </si>
  <si>
    <t>Carga de DQO entrada</t>
  </si>
  <si>
    <t>kg DQO/d</t>
  </si>
  <si>
    <r>
      <t>[SS]</t>
    </r>
    <r>
      <rPr>
        <vertAlign val="subscript"/>
        <sz val="11"/>
        <color rgb="FF000000"/>
        <rFont val="Calibri"/>
        <family val="2"/>
        <scheme val="minor"/>
      </rPr>
      <t>e</t>
    </r>
  </si>
  <si>
    <r>
      <t>[NT]</t>
    </r>
    <r>
      <rPr>
        <vertAlign val="subscript"/>
        <sz val="11"/>
        <color rgb="FF000000"/>
        <rFont val="Calibri"/>
        <family val="2"/>
        <scheme val="minor"/>
      </rPr>
      <t>e</t>
    </r>
  </si>
  <si>
    <r>
      <t>[PT]</t>
    </r>
    <r>
      <rPr>
        <vertAlign val="subscript"/>
        <sz val="11"/>
        <color rgb="FF000000"/>
        <rFont val="Calibri"/>
        <family val="2"/>
        <scheme val="minor"/>
      </rPr>
      <t>e</t>
    </r>
  </si>
  <si>
    <r>
      <rPr>
        <sz val="11"/>
        <color rgb="FF000000"/>
        <rFont val="Calibri"/>
        <family val="2"/>
      </rPr>
      <t>[CF]</t>
    </r>
    <r>
      <rPr>
        <vertAlign val="subscript"/>
        <sz val="11"/>
        <color rgb="FF000000"/>
        <rFont val="Calibri"/>
        <family val="2"/>
      </rPr>
      <t>e</t>
    </r>
  </si>
  <si>
    <t>UFC/100mL</t>
  </si>
  <si>
    <t>Carga de SS de lodos sin digerir adicionados de otros procesos</t>
  </si>
  <si>
    <t>kg m.s. /d</t>
  </si>
  <si>
    <t>Temperatura media mes más frio aire</t>
  </si>
  <si>
    <t>DISEÑO REACTOR</t>
  </si>
  <si>
    <t>T agua mes más frío (ºC)</t>
  </si>
  <si>
    <t>TRH (h)</t>
  </si>
  <si>
    <r>
      <rPr>
        <sz val="11"/>
        <color rgb="FF000000"/>
        <rFont val="Calibri"/>
        <family val="2"/>
      </rPr>
      <t>0,5-0,7 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/h </t>
    </r>
    <r>
      <rPr>
        <sz val="11"/>
        <color rgb="FFED7D31"/>
        <rFont val="Calibri"/>
        <family val="2"/>
      </rPr>
      <t>(BOL p 326)</t>
    </r>
  </si>
  <si>
    <t>Para Q med</t>
  </si>
  <si>
    <t>Para Qmax5h</t>
  </si>
  <si>
    <t>Carga superficial a Qmaxd</t>
  </si>
  <si>
    <r>
      <rPr>
        <sz val="11"/>
        <color rgb="FF000000"/>
        <rFont val="Calibri"/>
        <family val="2"/>
      </rPr>
      <t>≤ 1,1 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/h </t>
    </r>
    <r>
      <rPr>
        <sz val="11"/>
        <color rgb="FFED7D31"/>
        <rFont val="Calibri"/>
        <family val="2"/>
      </rPr>
      <t>(BOL p 326)</t>
    </r>
  </si>
  <si>
    <t>15-18</t>
  </si>
  <si>
    <t>≥ 10,0</t>
  </si>
  <si>
    <t>≥ 7,0</t>
  </si>
  <si>
    <t>Carga superficial a Qmax3h</t>
  </si>
  <si>
    <r>
      <rPr>
        <sz val="11"/>
        <color rgb="FF000000"/>
        <rFont val="Calibri"/>
        <family val="2"/>
      </rPr>
      <t>≤ 1,5 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/h </t>
    </r>
    <r>
      <rPr>
        <sz val="11"/>
        <color rgb="FFED7D31"/>
        <rFont val="Calibri"/>
        <family val="2"/>
      </rPr>
      <t>(BOL p 326)</t>
    </r>
  </si>
  <si>
    <t>18-22</t>
  </si>
  <si>
    <t>≥ 8,0</t>
  </si>
  <si>
    <t>≥ 5,5</t>
  </si>
  <si>
    <t xml:space="preserve">h  </t>
  </si>
  <si>
    <r>
      <rPr>
        <sz val="11"/>
        <color rgb="FF000000"/>
        <rFont val="Calibri"/>
        <family val="2"/>
      </rPr>
      <t xml:space="preserve">Ver tabla </t>
    </r>
    <r>
      <rPr>
        <sz val="11"/>
        <color rgb="FFED7D31"/>
        <rFont val="Calibri"/>
        <family val="2"/>
      </rPr>
      <t>(BOL p 325)</t>
    </r>
  </si>
  <si>
    <t>22-25</t>
  </si>
  <si>
    <t>≥ 4,5</t>
  </si>
  <si>
    <t>Tiempo de retención hidráulico (TRH) a Qmax5h</t>
  </si>
  <si>
    <t>h</t>
  </si>
  <si>
    <t>&gt;25</t>
  </si>
  <si>
    <t>≥ 6,0</t>
  </si>
  <si>
    <t>≥ 4,0</t>
  </si>
  <si>
    <r>
      <rPr>
        <sz val="11"/>
        <color rgb="FF000000"/>
        <rFont val="Calibri"/>
        <family val="2"/>
      </rPr>
      <t xml:space="preserve">= 2, 3 o 4 </t>
    </r>
    <r>
      <rPr>
        <sz val="11"/>
        <color rgb="FFED7D31"/>
        <rFont val="Calibri"/>
        <family val="2"/>
      </rPr>
      <t>(CD)</t>
    </r>
  </si>
  <si>
    <t>DIMENSIONAMIENTO REACTOR</t>
  </si>
  <si>
    <r>
      <rPr>
        <sz val="11"/>
        <color rgb="FF000000"/>
        <rFont val="Calibri"/>
        <family val="2"/>
      </rPr>
      <t xml:space="preserve">≥ 2 Ud </t>
    </r>
    <r>
      <rPr>
        <sz val="11"/>
        <color rgb="FFED7D31"/>
        <rFont val="Calibri"/>
        <family val="2"/>
      </rPr>
      <t>(CD)</t>
    </r>
  </si>
  <si>
    <r>
      <rPr>
        <sz val="11"/>
        <color rgb="FF000000"/>
        <rFont val="Calibri"/>
        <family val="2"/>
      </rPr>
      <t>4-5,5 m</t>
    </r>
    <r>
      <rPr>
        <sz val="11"/>
        <color rgb="FFED7D31"/>
        <rFont val="Calibri"/>
        <family val="2"/>
      </rPr>
      <t xml:space="preserve"> (BOL p 348)</t>
    </r>
  </si>
  <si>
    <t>Volumen unitario útil en funcionamiento</t>
  </si>
  <si>
    <r>
      <rPr>
        <b/>
        <sz val="11"/>
        <color rgb="FF000000"/>
        <rFont val="Calibri"/>
        <family val="2"/>
      </rPr>
      <t>m</t>
    </r>
    <r>
      <rPr>
        <b/>
        <vertAlign val="superscript"/>
        <sz val="11"/>
        <color rgb="FF000000"/>
        <rFont val="Calibri"/>
        <family val="2"/>
      </rPr>
      <t>3</t>
    </r>
  </si>
  <si>
    <r>
      <rPr>
        <sz val="11"/>
        <color rgb="FF000000"/>
        <rFont val="Calibri"/>
        <family val="2"/>
      </rPr>
      <t>≤ 1.500 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 xml:space="preserve"> </t>
    </r>
    <r>
      <rPr>
        <sz val="11"/>
        <color rgb="FFED7D31"/>
        <rFont val="Calibri"/>
        <family val="2"/>
      </rPr>
      <t>(CD)</t>
    </r>
  </si>
  <si>
    <t>Carga a Qm</t>
  </si>
  <si>
    <r>
      <rPr>
        <sz val="11"/>
        <color rgb="FF000000"/>
        <rFont val="Calibri"/>
        <family val="2"/>
      </rPr>
      <t>kg DQO/m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/d</t>
    </r>
  </si>
  <si>
    <r>
      <rPr>
        <sz val="11"/>
        <color rgb="FF000000"/>
        <rFont val="Calibri"/>
        <family val="2"/>
      </rPr>
      <t>≤ 15 kg DQO/m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 xml:space="preserve">/d </t>
    </r>
    <r>
      <rPr>
        <sz val="11"/>
        <color rgb="FFED7D31"/>
        <rFont val="Calibri"/>
        <family val="2"/>
      </rPr>
      <t>(BOL p 327)</t>
    </r>
  </si>
  <si>
    <r>
      <rPr>
        <sz val="11"/>
        <color rgb="FF000000"/>
        <rFont val="Calibri"/>
        <family val="2"/>
      </rPr>
      <t xml:space="preserve">≥ 16ºC </t>
    </r>
    <r>
      <rPr>
        <sz val="11"/>
        <color rgb="FFED7D31"/>
        <rFont val="Calibri"/>
        <family val="2"/>
      </rPr>
      <t>(AECID p 129)</t>
    </r>
  </si>
  <si>
    <t>Lodos</t>
  </si>
  <si>
    <t>Producción lodos</t>
  </si>
  <si>
    <t>Producción lodos específica</t>
  </si>
  <si>
    <t xml:space="preserve">kg m.s./kg DQO </t>
  </si>
  <si>
    <r>
      <rPr>
        <sz val="11"/>
        <color rgb="FF000000"/>
        <rFont val="Calibri"/>
        <family val="2"/>
      </rPr>
      <t xml:space="preserve">0,1-0,2 kg m.s./kg DQO entrada </t>
    </r>
    <r>
      <rPr>
        <sz val="11"/>
        <color rgb="FFED7D31"/>
        <rFont val="Calibri"/>
        <family val="2"/>
      </rPr>
      <t>(BOL p 293)</t>
    </r>
  </si>
  <si>
    <t>Concentración lodos</t>
  </si>
  <si>
    <r>
      <rPr>
        <sz val="11"/>
        <color rgb="FF000000"/>
        <rFont val="Calibri"/>
        <family val="2"/>
      </rPr>
      <t xml:space="preserve">2-5 % </t>
    </r>
    <r>
      <rPr>
        <sz val="11"/>
        <color rgb="FFED7D31"/>
        <rFont val="Calibri"/>
        <family val="2"/>
      </rPr>
      <t>(DAE p 42)</t>
    </r>
  </si>
  <si>
    <t>Caudal producción de lodos</t>
  </si>
  <si>
    <r>
      <rPr>
        <sz val="11"/>
        <color rgb="FF000000"/>
        <rFont val="Calibri"/>
        <family val="2"/>
      </rPr>
      <t>NT eliminada por 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eliminada</t>
    </r>
  </si>
  <si>
    <r>
      <rPr>
        <sz val="11"/>
        <color rgb="FF000000"/>
        <rFont val="Calibri"/>
        <family val="2"/>
      </rPr>
      <t>g NT/g 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elim</t>
    </r>
  </si>
  <si>
    <r>
      <t xml:space="preserve">0-2% </t>
    </r>
    <r>
      <rPr>
        <sz val="11"/>
        <color theme="5"/>
        <rFont val="Calibri"/>
        <family val="2"/>
      </rPr>
      <t>(CD)</t>
    </r>
  </si>
  <si>
    <t>Contenido de NT en lodo</t>
  </si>
  <si>
    <t>g NT/g m.s.</t>
  </si>
  <si>
    <r>
      <t>PT eliminada por 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eliminada</t>
    </r>
  </si>
  <si>
    <r>
      <rPr>
        <sz val="11"/>
        <color rgb="FF000000"/>
        <rFont val="Calibri"/>
        <family val="2"/>
      </rPr>
      <t>g PT/g 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elim</t>
    </r>
  </si>
  <si>
    <r>
      <rPr>
        <sz val="11"/>
        <color rgb="FF000000"/>
        <rFont val="Calibri"/>
        <family val="2"/>
      </rPr>
      <t xml:space="preserve">0-0,3% </t>
    </r>
    <r>
      <rPr>
        <sz val="11"/>
        <color rgb="FFED7D31"/>
        <rFont val="Calibri"/>
        <family val="2"/>
      </rPr>
      <t>(CD)</t>
    </r>
  </si>
  <si>
    <t>Contenido de PT en lodo</t>
  </si>
  <si>
    <t>g PT/g m.s.</t>
  </si>
  <si>
    <t>Intervalo de descargas teórico</t>
  </si>
  <si>
    <t>d</t>
  </si>
  <si>
    <r>
      <t xml:space="preserve">30-90 días </t>
    </r>
    <r>
      <rPr>
        <sz val="11"/>
        <color theme="5"/>
        <rFont val="Calibri"/>
        <family val="2"/>
      </rPr>
      <t>(BOL p 874)</t>
    </r>
  </si>
  <si>
    <t>Intervalo de descargas real</t>
  </si>
  <si>
    <t>≈ 7 d (DAE p 42)</t>
  </si>
  <si>
    <t>Biogás</t>
  </si>
  <si>
    <t>Caudal total de metano recuperable</t>
  </si>
  <si>
    <t>% Biogás en el metano</t>
  </si>
  <si>
    <r>
      <rPr>
        <sz val="11"/>
        <color rgb="FF000000"/>
        <rFont val="Calibri"/>
        <family val="2"/>
      </rPr>
      <t xml:space="preserve">70-80% </t>
    </r>
    <r>
      <rPr>
        <sz val="11"/>
        <color rgb="FFED7D31"/>
        <rFont val="Calibri"/>
        <family val="2"/>
      </rPr>
      <t>(IWA p 758)</t>
    </r>
  </si>
  <si>
    <t>Caudal de biogás generado</t>
  </si>
  <si>
    <t>AGUA SALIDA PROCESO</t>
  </si>
  <si>
    <r>
      <rPr>
        <sz val="11"/>
        <color rgb="FF000000"/>
        <rFont val="Calibri"/>
        <family val="2"/>
      </rPr>
      <t>[DBO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>]</t>
    </r>
    <r>
      <rPr>
        <vertAlign val="subscript"/>
        <sz val="11"/>
        <color rgb="FF000000"/>
        <rFont val="Calibri"/>
        <family val="2"/>
      </rPr>
      <t>s</t>
    </r>
  </si>
  <si>
    <r>
      <rPr>
        <sz val="11"/>
        <rFont val="Calibri"/>
        <family val="2"/>
        <scheme val="minor"/>
      </rPr>
      <t>70-80%</t>
    </r>
    <r>
      <rPr>
        <sz val="11"/>
        <color theme="7"/>
        <rFont val="Calibri"/>
        <family val="2"/>
        <scheme val="minor"/>
      </rPr>
      <t xml:space="preserve"> </t>
    </r>
    <r>
      <rPr>
        <sz val="11"/>
        <color theme="5"/>
        <rFont val="Calibri"/>
        <family val="2"/>
        <scheme val="minor"/>
      </rPr>
      <t>(BOL p 335)</t>
    </r>
  </si>
  <si>
    <r>
      <t>[DQO]</t>
    </r>
    <r>
      <rPr>
        <vertAlign val="subscript"/>
        <sz val="11"/>
        <rFont val="Calibri"/>
        <family val="2"/>
        <scheme val="minor"/>
      </rPr>
      <t>s</t>
    </r>
  </si>
  <si>
    <r>
      <rPr>
        <sz val="11"/>
        <rFont val="Calibri"/>
        <family val="2"/>
        <scheme val="minor"/>
      </rPr>
      <t>60-70%</t>
    </r>
    <r>
      <rPr>
        <sz val="11"/>
        <color theme="7"/>
        <rFont val="Calibri"/>
        <family val="2"/>
        <scheme val="minor"/>
      </rPr>
      <t xml:space="preserve"> </t>
    </r>
    <r>
      <rPr>
        <sz val="11"/>
        <color theme="5"/>
        <rFont val="Calibri"/>
        <family val="2"/>
        <scheme val="minor"/>
      </rPr>
      <t>(BOL p 335)</t>
    </r>
  </si>
  <si>
    <r>
      <rPr>
        <sz val="11"/>
        <color rgb="FF000000"/>
        <rFont val="Calibri"/>
        <family val="2"/>
      </rPr>
      <t>relación DBO</t>
    </r>
    <r>
      <rPr>
        <vertAlign val="subscript"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>/DQO</t>
    </r>
  </si>
  <si>
    <r>
      <rPr>
        <sz val="11"/>
        <color rgb="FF000000"/>
        <rFont val="Calibri"/>
        <family val="2"/>
      </rPr>
      <t>≈ 0,49</t>
    </r>
    <r>
      <rPr>
        <sz val="11"/>
        <color rgb="FFED7D31"/>
        <rFont val="Calibri"/>
        <family val="2"/>
      </rPr>
      <t xml:space="preserve"> (CD)</t>
    </r>
  </si>
  <si>
    <r>
      <t>[SS]</t>
    </r>
    <r>
      <rPr>
        <vertAlign val="subscript"/>
        <sz val="11"/>
        <rFont val="Calibri"/>
        <family val="2"/>
        <scheme val="minor"/>
      </rPr>
      <t>s</t>
    </r>
  </si>
  <si>
    <r>
      <rPr>
        <sz val="11"/>
        <color rgb="FF000000"/>
        <rFont val="Calibri"/>
        <family val="2"/>
      </rPr>
      <t>50-70%</t>
    </r>
    <r>
      <rPr>
        <sz val="11"/>
        <color rgb="FFFFC000"/>
        <rFont val="Calibri"/>
        <family val="2"/>
      </rPr>
      <t xml:space="preserve"> </t>
    </r>
    <r>
      <rPr>
        <sz val="11"/>
        <color rgb="FFED7D31"/>
        <rFont val="Calibri"/>
        <family val="2"/>
      </rPr>
      <t>(BOL p 335)</t>
    </r>
  </si>
  <si>
    <r>
      <t>[NT]</t>
    </r>
    <r>
      <rPr>
        <vertAlign val="subscript"/>
        <sz val="11"/>
        <rFont val="Calibri"/>
        <family val="2"/>
        <scheme val="minor"/>
      </rPr>
      <t>s</t>
    </r>
  </si>
  <si>
    <r>
      <t>[PT]</t>
    </r>
    <r>
      <rPr>
        <vertAlign val="subscript"/>
        <sz val="11"/>
        <rFont val="Calibri"/>
        <family val="2"/>
        <scheme val="minor"/>
      </rPr>
      <t>s</t>
    </r>
  </si>
  <si>
    <r>
      <t>[CF]</t>
    </r>
    <r>
      <rPr>
        <vertAlign val="subscript"/>
        <sz val="11"/>
        <rFont val="Calibri"/>
        <family val="2"/>
        <scheme val="minor"/>
      </rPr>
      <t>s</t>
    </r>
  </si>
  <si>
    <t>ULog</t>
  </si>
  <si>
    <r>
      <rPr>
        <sz val="11"/>
        <color rgb="FF000000"/>
        <rFont val="Calibri"/>
        <family val="2"/>
      </rPr>
      <t>≈ 0</t>
    </r>
    <r>
      <rPr>
        <sz val="11"/>
        <color rgb="FFED7D31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ULog </t>
    </r>
    <r>
      <rPr>
        <sz val="11"/>
        <color rgb="FFED7D31"/>
        <rFont val="Calibri"/>
        <family val="2"/>
      </rPr>
      <t>(CD)</t>
    </r>
  </si>
  <si>
    <t>Resguardo obra civil</t>
  </si>
  <si>
    <r>
      <rPr>
        <sz val="11"/>
        <rFont val="Calibri"/>
        <family val="2"/>
        <scheme val="minor"/>
      </rPr>
      <t>= 0,5 m</t>
    </r>
    <r>
      <rPr>
        <sz val="11"/>
        <color theme="7"/>
        <rFont val="Calibri"/>
        <family val="2"/>
        <scheme val="minor"/>
      </rPr>
      <t xml:space="preserve"> </t>
    </r>
    <r>
      <rPr>
        <sz val="11"/>
        <color theme="5"/>
        <rFont val="Calibri"/>
        <family val="2"/>
        <scheme val="minor"/>
      </rPr>
      <t>(CD)</t>
    </r>
  </si>
  <si>
    <r>
      <rPr>
        <sz val="11"/>
        <color rgb="FF000000"/>
        <rFont val="Calibri"/>
        <family val="2"/>
      </rPr>
      <t xml:space="preserve">≥ 0,5 m (NF bajo); ≥ 1 m (NF alto) </t>
    </r>
    <r>
      <rPr>
        <sz val="11"/>
        <color rgb="FFED7D31"/>
        <rFont val="Calibri"/>
        <family val="2"/>
      </rPr>
      <t>(CD)</t>
    </r>
  </si>
  <si>
    <r>
      <rPr>
        <sz val="11"/>
        <rFont val="Calibri"/>
        <family val="2"/>
      </rPr>
      <t>≥ 0,4 m (Pe ≤ 4m); ≥ 0,5 m (Pe &gt; 4m)</t>
    </r>
    <r>
      <rPr>
        <sz val="11"/>
        <color rgb="FF444444"/>
        <rFont val="Calibri"/>
        <family val="2"/>
      </rPr>
      <t xml:space="preserve"> </t>
    </r>
    <r>
      <rPr>
        <sz val="11"/>
        <color rgb="FFED7D31"/>
        <rFont val="Calibri"/>
        <family val="2"/>
      </rPr>
      <t>(CD)</t>
    </r>
  </si>
  <si>
    <t>Espesor de cubierta</t>
  </si>
  <si>
    <r>
      <rPr>
        <sz val="11"/>
        <rFont val="Calibri"/>
        <family val="2"/>
      </rPr>
      <t>= 0,3 m</t>
    </r>
    <r>
      <rPr>
        <sz val="11"/>
        <color rgb="FF444444"/>
        <rFont val="Calibri"/>
        <family val="2"/>
      </rPr>
      <t xml:space="preserve"> </t>
    </r>
    <r>
      <rPr>
        <sz val="11"/>
        <color rgb="FFED7D31"/>
        <rFont val="Calibri"/>
        <family val="2"/>
      </rPr>
      <t>(CD)</t>
    </r>
  </si>
  <si>
    <t>Profundidad de la excavación (Pe)</t>
  </si>
  <si>
    <r>
      <rPr>
        <sz val="11"/>
        <color rgb="FF000000"/>
        <rFont val="Calibri"/>
        <family val="2"/>
      </rPr>
      <t xml:space="preserve">= Altura obra civil + espesor solera - 1,5 m </t>
    </r>
    <r>
      <rPr>
        <sz val="11"/>
        <color rgb="FFED7D31"/>
        <rFont val="Calibri"/>
        <family val="2"/>
      </rPr>
      <t xml:space="preserve">(CD) </t>
    </r>
    <r>
      <rPr>
        <sz val="11"/>
        <color rgb="FF000000"/>
        <rFont val="Calibri"/>
        <family val="2"/>
      </rPr>
      <t xml:space="preserve">≤ 6,5 m </t>
    </r>
    <r>
      <rPr>
        <sz val="11"/>
        <color rgb="FFED7D31"/>
        <rFont val="Calibri"/>
        <family val="2"/>
      </rPr>
      <t>(CD)</t>
    </r>
  </si>
  <si>
    <t>Hormigón separador trifásico</t>
  </si>
  <si>
    <t>Hormigón cubierta</t>
  </si>
  <si>
    <r>
      <rPr>
        <sz val="11"/>
        <color rgb="FF000000"/>
        <rFont val="Calibri"/>
        <family val="2"/>
      </rPr>
      <t>m</t>
    </r>
    <r>
      <rPr>
        <vertAlign val="superscript"/>
        <sz val="11"/>
        <color rgb="FF000000"/>
        <rFont val="Calibri"/>
        <family val="2"/>
      </rPr>
      <t>3</t>
    </r>
  </si>
  <si>
    <t xml:space="preserve">Compuerta canal  entrada </t>
  </si>
  <si>
    <t>Distribución</t>
  </si>
  <si>
    <t>distribuidores</t>
  </si>
  <si>
    <t>mm  Փ tubo</t>
  </si>
  <si>
    <r>
      <t xml:space="preserve">75-100 mm </t>
    </r>
    <r>
      <rPr>
        <sz val="11"/>
        <color theme="5"/>
        <rFont val="Calibri"/>
        <family val="2"/>
        <scheme val="minor"/>
      </rPr>
      <t>(BOL p 349)</t>
    </r>
  </si>
  <si>
    <t>tubos por distribuidor</t>
  </si>
  <si>
    <r>
      <rPr>
        <sz val="11"/>
        <color rgb="FF000000"/>
        <rFont val="Calibri"/>
        <family val="2"/>
      </rPr>
      <t xml:space="preserve">Velocidad ≤ 0,2 m/s </t>
    </r>
    <r>
      <rPr>
        <sz val="11"/>
        <color rgb="FFED7D31"/>
        <rFont val="Calibri"/>
        <family val="2"/>
      </rPr>
      <t>(BOL p 349)</t>
    </r>
  </si>
  <si>
    <t>m longitud tubo</t>
  </si>
  <si>
    <t>m longitud total</t>
  </si>
  <si>
    <t>Separador trifásico</t>
  </si>
  <si>
    <r>
      <t>m</t>
    </r>
    <r>
      <rPr>
        <vertAlign val="superscript"/>
        <sz val="11"/>
        <rFont val="Calibri"/>
        <family val="2"/>
        <scheme val="minor"/>
      </rPr>
      <t>2</t>
    </r>
  </si>
  <si>
    <t>Línea de gas</t>
  </si>
  <si>
    <r>
      <rPr>
        <sz val="11"/>
        <color rgb="FF000000"/>
        <rFont val="Calibri"/>
        <family val="2"/>
      </rPr>
      <t xml:space="preserve">≥ 75 mm </t>
    </r>
    <r>
      <rPr>
        <sz val="11"/>
        <color rgb="FFED7D31"/>
        <rFont val="Calibri"/>
        <family val="2"/>
      </rPr>
      <t>(CD)</t>
    </r>
  </si>
  <si>
    <r>
      <rPr>
        <sz val="11"/>
        <color rgb="FF000000"/>
        <rFont val="Calibri"/>
        <family val="2"/>
      </rPr>
      <t xml:space="preserve">Velocidad ≤ 10 m/s </t>
    </r>
    <r>
      <rPr>
        <sz val="11"/>
        <color rgb="FFED7D31"/>
        <rFont val="Calibri"/>
        <family val="2"/>
      </rPr>
      <t>(CD)</t>
    </r>
  </si>
  <si>
    <t>Antorcha</t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</si>
  <si>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</t>
    </r>
  </si>
  <si>
    <t xml:space="preserve">EQUIPOS ELECTROMECÁNICOS </t>
  </si>
  <si>
    <t>Tuberia de distribución</t>
  </si>
  <si>
    <t>Tuberia de gas</t>
  </si>
  <si>
    <t>Encofrado plano se considera un 10% del encofrado curvo</t>
  </si>
  <si>
    <t>El hormigón del separador trifasico se ha considerado un 15% del hormigón de muros</t>
  </si>
  <si>
    <t>Encofrado curvo</t>
  </si>
  <si>
    <t>Urbanización</t>
  </si>
  <si>
    <t>Edificio</t>
  </si>
  <si>
    <t>Equipamiento digestor</t>
  </si>
  <si>
    <t>Cubierta</t>
  </si>
  <si>
    <t>Denominación</t>
  </si>
  <si>
    <t>Detalle de la denominación</t>
  </si>
  <si>
    <t>Unidad de referencia</t>
  </si>
  <si>
    <t>Precio unitario de referencia (USD-2022)</t>
  </si>
  <si>
    <t>Excavación tierra</t>
  </si>
  <si>
    <t>EXC. POZOS TIERRA C.MEDIA BAJO NIVEL FREÁTICO, M.MECANICOS,PROF.MAX. 4.00M</t>
  </si>
  <si>
    <t>Excavación tierra NF</t>
  </si>
  <si>
    <t>EXC. POZOS TIERRA C.MEDIA ALTO NIVEL FREÁTICO, M.MECANICOS,PROF.MAX. 4.00M</t>
  </si>
  <si>
    <t>Excavación roca</t>
  </si>
  <si>
    <t>EXC. POZOS ROCA C.MEDIA, M.MECANICOS,PROF.MAX. 4.00M</t>
  </si>
  <si>
    <t>HORMIGON CIMIENTOS</t>
  </si>
  <si>
    <t>HORMIGON MUROS</t>
  </si>
  <si>
    <t>ACERO EN BARRAS CORRUGADAS TIPO B 400 S</t>
  </si>
  <si>
    <t xml:space="preserve">ENCOF. TABL. AGLOM. MUROS </t>
  </si>
  <si>
    <t>ENCOFRADO VERTICAL CURVO</t>
  </si>
  <si>
    <t>EDIFICIO</t>
  </si>
  <si>
    <t>URBANIZACION</t>
  </si>
  <si>
    <t>CUBIERTA ERAS DE SECADO</t>
  </si>
  <si>
    <t>Denominación y detalle</t>
  </si>
  <si>
    <t>Compuerta manual canal (0,3 x 0,5 m)</t>
  </si>
  <si>
    <t>Compuerta manual canal (0,5 x 1 m)</t>
  </si>
  <si>
    <t>Compuerta manual canal (0,5 x 1,5 m)</t>
  </si>
  <si>
    <t>Compuerta manual canal (0,75 x 1,5 m)</t>
  </si>
  <si>
    <t>Compuerta automática canal (0,3 x 0,5 m)</t>
  </si>
  <si>
    <t>Compuerta automática canal (0,5 x 0,7 m)</t>
  </si>
  <si>
    <t>Compuerta automática canal (0,5 x 1 m)</t>
  </si>
  <si>
    <t>Compuerta automática canal (0,5 x 1,5 m)</t>
  </si>
  <si>
    <t>Compuerta manual mural (0,3 x 0,5 m)</t>
  </si>
  <si>
    <t>Compuerta manual mural (0,5 x 1 m)</t>
  </si>
  <si>
    <t>Compuerta manual mural (0,5 x 1,5 m)</t>
  </si>
  <si>
    <t>Compuerta manual mural (0,75 x 1,5 m)</t>
  </si>
  <si>
    <t>Compuerta automática mural (0,3 x 0,5 m)</t>
  </si>
  <si>
    <t>Compuerta automática mural (0,5 x 0,7 m)</t>
  </si>
  <si>
    <t>Compuerta automática mural (0,5 x 1 m)</t>
  </si>
  <si>
    <t>Compuerta automática mural (0,5 x 1,5 m)</t>
  </si>
  <si>
    <t>Agitadores sumergidos (0,5 kW)</t>
  </si>
  <si>
    <t>Agitadores sumergidos (1 kW)</t>
  </si>
  <si>
    <t>Agitadores sumergidos (3 kW)</t>
  </si>
  <si>
    <t>Agitadores sumergidos (5 kW)</t>
  </si>
  <si>
    <t>Agitadores sumergidos (9 kW)</t>
  </si>
  <si>
    <t>Agitadores sumergidos (7 kW)</t>
  </si>
  <si>
    <t>Agitadores sumergidos canal de oxidación (0,5 kW)</t>
  </si>
  <si>
    <t>Agitadores sumergidos canal de oxidación (1 kW)</t>
  </si>
  <si>
    <t>Agitadores sumergidos canal de oxidación (3 kW)</t>
  </si>
  <si>
    <t>Agitadores sumergidos canal de oxidación (5 kW)</t>
  </si>
  <si>
    <t>Agitadores sumergidos canal de oxidación (7 kW)</t>
  </si>
  <si>
    <t>Agitadores sumergidos canal de oxidación (9 kW)</t>
  </si>
  <si>
    <r>
      <t>Soplantes (250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 kW)</t>
    </r>
  </si>
  <si>
    <r>
      <t>Soplantes (500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kW)</t>
    </r>
  </si>
  <si>
    <r>
      <t>Soplantes (1000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kW)</t>
    </r>
  </si>
  <si>
    <r>
      <t>Soplantes (250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7,5 kW)</t>
    </r>
  </si>
  <si>
    <r>
      <t>Soplantes (500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11 kW)</t>
    </r>
  </si>
  <si>
    <r>
      <t>Soplantes (1000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22 kW)</t>
    </r>
  </si>
  <si>
    <r>
      <t>Soplantes (1500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35 kW)</t>
    </r>
  </si>
  <si>
    <r>
      <t>Soplantes (2000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45 kW)</t>
    </r>
  </si>
  <si>
    <r>
      <t>Soplantes (3500m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75 kW)</t>
    </r>
  </si>
  <si>
    <t>Tuberías de aire (80 mmՓ)</t>
  </si>
  <si>
    <t>ml</t>
  </si>
  <si>
    <t>Tuberías de aire (100 mmՓ)</t>
  </si>
  <si>
    <t>Tuberías de aire (150 mmՓ)</t>
  </si>
  <si>
    <t>Tuberías de aire (200 mmՓ)</t>
  </si>
  <si>
    <t>Tuberías de aire (250 mmՓ)</t>
  </si>
  <si>
    <t>Tuberías de aire (300 mmՓ)</t>
  </si>
  <si>
    <r>
      <t>Puente decantador (6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</si>
  <si>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(8m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</si>
  <si>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(10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</si>
  <si>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(12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</si>
  <si>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(16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</si>
  <si>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(20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</si>
  <si>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r>
      <t>Puente decantador (30 m</t>
    </r>
    <r>
      <rPr>
        <sz val="11"/>
        <rFont val="Calibri"/>
        <family val="2"/>
      </rPr>
      <t>Փ</t>
    </r>
    <r>
      <rPr>
        <sz val="11"/>
        <rFont val="Calibri"/>
        <family val="2"/>
        <scheme val="minor"/>
      </rPr>
      <t>)</t>
    </r>
  </si>
  <si>
    <t>Decantador estático (3 mՓ)</t>
  </si>
  <si>
    <t>Decantador estático (4 mՓ)</t>
  </si>
  <si>
    <t>Decantador estático (5 mՓ)</t>
  </si>
  <si>
    <t>Decantador estático (6 mՓ)</t>
  </si>
  <si>
    <t>Instrumentación y control de lodos activados (1 reactor)</t>
  </si>
  <si>
    <t>Instrumentación y control de lodos activados (2 reactor)</t>
  </si>
  <si>
    <t>Instrumentación y control de lodos activados (3 reactor)</t>
  </si>
  <si>
    <t>Automatización filtros de arena (nº filtros 2)</t>
  </si>
  <si>
    <t>Automatización filtros de arena (nº filtros 3)</t>
  </si>
  <si>
    <t>Automatización filtros de arena (nº filtros 4)</t>
  </si>
  <si>
    <t>Automatización filtros de arena (nº filtros 5)</t>
  </si>
  <si>
    <t>Automatización filtros de arena (nº filtros 6)</t>
  </si>
  <si>
    <t>Automatización filtros de arena (nº filtros 7)</t>
  </si>
  <si>
    <t>Dépositos de reactivos (1000 L)</t>
  </si>
  <si>
    <t>Dépositos de reactivos (2500 L)</t>
  </si>
  <si>
    <t>Dépositos de reactivos (5000 L)</t>
  </si>
  <si>
    <t>Dépositos de reactivos (10000 L)</t>
  </si>
  <si>
    <t>Dépositos de reactivos (20000 L)</t>
  </si>
  <si>
    <t>Tuberías de distribución (75 mm)</t>
  </si>
  <si>
    <t>Tuberías de distribución (100 mm)</t>
  </si>
  <si>
    <t>Tuberías de distribución (150 mm)</t>
  </si>
  <si>
    <r>
      <t>Antorcha (20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</si>
  <si>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Antorcha (40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</si>
  <si>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Antorcha (60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</si>
  <si>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Antorcha (80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</si>
  <si>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t>Domos disfusores (desarenador)</t>
  </si>
  <si>
    <t>Domos difusores (biológico)</t>
  </si>
  <si>
    <t>Canal Parshall (2")</t>
  </si>
  <si>
    <t>Canal Parshall (3")</t>
  </si>
  <si>
    <t>Canal Parshall (6")</t>
  </si>
  <si>
    <t>Canal Parshall (9")</t>
  </si>
  <si>
    <t>Canal Parshall (12")</t>
  </si>
  <si>
    <t>Canal Parshall (18")</t>
  </si>
  <si>
    <t>Válvulas manuales (80 mm)</t>
  </si>
  <si>
    <t>Válvulas manuales (100 mm)</t>
  </si>
  <si>
    <t>Válvulas manuales (200 mm)</t>
  </si>
  <si>
    <t>Válvulas manuales (300 mm)</t>
  </si>
  <si>
    <t>Válvulas manuales (400 mm)</t>
  </si>
  <si>
    <t>Válvulas manuales (500 mm)</t>
  </si>
  <si>
    <t>Válvulas automáticas (80 mm)</t>
  </si>
  <si>
    <t>Válvulas  automáticas (100 mm)</t>
  </si>
  <si>
    <t>Válvulas automáticas (200 mm)</t>
  </si>
  <si>
    <t>Válvulas automáticas (300 mm)</t>
  </si>
  <si>
    <t>Válvulas automáticas (400 mm)</t>
  </si>
  <si>
    <t>Válvulas automáticas (500 mm)</t>
  </si>
  <si>
    <r>
      <t>Bomba sumergida (1-2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m)</t>
    </r>
  </si>
  <si>
    <r>
      <t>Bomba sumergida (5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</si>
  <si>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</si>
  <si>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t>Bomba sumergida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</si>
  <si>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</si>
  <si>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r>
      <t>Bomba sumergida (50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</si>
  <si>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t>Bomba sumergida (50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</si>
  <si>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(50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</si>
  <si>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r>
      <t>Bomba sumergida (100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</si>
  <si>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t>Bomba sumergida (100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</si>
  <si>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(100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</si>
  <si>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r>
      <t>Bomba sumergida (200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</si>
  <si>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rPr>
        <sz val="11"/>
        <color rgb="FF000000"/>
        <rFont val="Calibri"/>
        <family val="2"/>
      </rPr>
      <t>Bomba sumergida (200 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/h y 10 m)</t>
    </r>
  </si>
  <si>
    <r>
      <t>Bomba sumergida (200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</si>
  <si>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r>
      <t>Bomba sumergida (400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</si>
  <si>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t>Bomba sumergida (400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</si>
  <si>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(400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</si>
  <si>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r>
      <t>Bomba sumergida (800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5 m)</t>
    </r>
  </si>
  <si>
    <r>
      <t>Bomba sumergida (800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10 m)</t>
    </r>
  </si>
  <si>
    <r>
      <t>Bomba sumergida (800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20 m)</t>
    </r>
  </si>
  <si>
    <t>Bomba dosificadora (60 m y 10 L/h)</t>
  </si>
  <si>
    <t>Bomba dosificadora (60 m Y 25 L/h)</t>
  </si>
  <si>
    <t>Bomba dosificadora (60 m Y 50 L/h)</t>
  </si>
  <si>
    <t>Bomba dosificadora (60 m Y 100 L/h)</t>
  </si>
  <si>
    <t>Bomba dosificadora (60 m Y 150 L/h)</t>
  </si>
  <si>
    <r>
      <t>Bomba de arena (2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m)</t>
    </r>
  </si>
  <si>
    <r>
      <t>Bomba de arena (5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m)</t>
    </r>
  </si>
  <si>
    <r>
      <t>Bomba de arena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m)</t>
    </r>
  </si>
  <si>
    <r>
      <t>Bomba de arena (15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 y 3 m)</t>
    </r>
  </si>
  <si>
    <r>
      <t>Clasificador de arenas (5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</si>
  <si>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Clasificador de arenas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</si>
  <si>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Clasificador de arenas (15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</si>
  <si>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Separador de grasas (2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</si>
  <si>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Separador de grasas (5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</si>
  <si>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r>
      <t>Separador de grasas (10 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/h)</t>
    </r>
  </si>
  <si>
    <t xml:space="preserve">Brazo lecho percolador </t>
  </si>
  <si>
    <t>Motor (0,5 kW)</t>
  </si>
  <si>
    <t>Motor (1 kW)</t>
  </si>
  <si>
    <t>Motor (1,5 kW)</t>
  </si>
  <si>
    <t>Relleno lecho percolador plástico</t>
  </si>
  <si>
    <r>
      <t>m</t>
    </r>
    <r>
      <rPr>
        <vertAlign val="superscript"/>
        <sz val="11"/>
        <rFont val="Calibri"/>
        <family val="2"/>
        <scheme val="minor"/>
      </rPr>
      <t>3</t>
    </r>
  </si>
  <si>
    <t>Relleno lecho percolador piedra</t>
  </si>
  <si>
    <t>Arena de relleno</t>
  </si>
  <si>
    <t>MEDIDOR DE NIVEL ULTRASÓNICO</t>
  </si>
  <si>
    <t>REJA MANUAL (PASO 50 mm y X x X m)</t>
  </si>
  <si>
    <t>Contenedor de 0,3 m3</t>
  </si>
  <si>
    <t>Contenedor de 1 m3</t>
  </si>
  <si>
    <t>Contenedor de 5 m3</t>
  </si>
  <si>
    <t>REJA DE GRUESOS AUTOMÁTICAS (0,3 x 0,7 m)</t>
  </si>
  <si>
    <t>REJA DE GRUESOS AUTOMÁTICAS (0,5 x 0,7 m)</t>
  </si>
  <si>
    <t>REJA DE GRUESOS AUTOMÁTICAS  (0,5 x 1 m)</t>
  </si>
  <si>
    <t>REJA DE GRUESOS AUTOMÁTICAS  (0,75 x 1 m)</t>
  </si>
  <si>
    <t>REJA  DE GRUESOS MANUAL (0,5 x 0,7 m)</t>
  </si>
  <si>
    <t>REJA  DE GRUESOS MANUAL (0,5 x 1 m)</t>
  </si>
  <si>
    <t>REJA  DE GRUESOS MANUAL (0,75 x 1 m)</t>
  </si>
  <si>
    <t>REJA DE FINOS AUTOMÁTICAS (0,3 x 0,7 m)</t>
  </si>
  <si>
    <t>REJA DE FINOS AUTOMÁTICAS (0,5 x 0,7 m)</t>
  </si>
  <si>
    <t>REJA DE FINOS AUTOMÁTICAS  (0,5 x 1 m)</t>
  </si>
  <si>
    <t>REJA DE FINOS AUTOMÁTICAS  (0,75 x 1 m)</t>
  </si>
  <si>
    <t>REJA DE FINOS MANUAL (0,5 x 0,7 m)</t>
  </si>
  <si>
    <t>REJA DE FINOS MANUAL (0,5 x 1 m)</t>
  </si>
  <si>
    <t>REJA DE FINOS MANUAL (0,75 x 1 m)</t>
  </si>
  <si>
    <t>SISTEMA DE TRANSPORTE (3,2 m)</t>
  </si>
  <si>
    <t>SISTEMA DE TRANSPORTE (3,7 m)</t>
  </si>
  <si>
    <t>SISTEMA DE TRANSPORTE (4,7 m)</t>
  </si>
  <si>
    <t>PUENTE DESARENADOR (L= 2,0 m)</t>
  </si>
  <si>
    <t>PUENTE DESARENADOR (L= 3,0 m)</t>
  </si>
  <si>
    <t>PUENTE DESARENADOR (L= 4,0 m)</t>
  </si>
  <si>
    <t xml:space="preserve">SEPARADOR TRIFÁSICO </t>
  </si>
  <si>
    <t>Tipologías</t>
  </si>
  <si>
    <t>1- Tierra bajo nivel freático, llano</t>
  </si>
  <si>
    <t>2- Tierra bajo nivel freático, pendiente suave</t>
  </si>
  <si>
    <t>3- Tierra bajo nivel freático, pendiente fuerte</t>
  </si>
  <si>
    <t>4- Roca bajo nivel freático, llano</t>
  </si>
  <si>
    <t xml:space="preserve">5- Roca bajo nivel freático, pendiente suave </t>
  </si>
  <si>
    <t xml:space="preserve">6- Roca bajo nivel freático, pendiente fuerte </t>
  </si>
  <si>
    <t>7- Tierra alto nivel freático, llano</t>
  </si>
  <si>
    <t>TABLAS COMPLEMENTARIAS</t>
  </si>
  <si>
    <t>www.generadordeprecios.info</t>
  </si>
  <si>
    <t>www.certicalia.com/blog/</t>
  </si>
  <si>
    <t>ESQUEMA DE PROCESO</t>
  </si>
  <si>
    <t>Formato esquemas</t>
  </si>
  <si>
    <r>
      <rPr>
        <i/>
        <sz val="11"/>
        <color theme="5"/>
        <rFont val="Calibri"/>
        <family val="2"/>
      </rPr>
      <t xml:space="preserve">(AECID) </t>
    </r>
    <r>
      <rPr>
        <i/>
        <sz val="11"/>
        <color rgb="FF000000"/>
        <rFont val="Calibri"/>
        <family val="2"/>
      </rPr>
      <t>Selección de Tecnologías de Tratamiento (2022)</t>
    </r>
  </si>
  <si>
    <r>
      <t>(BOL)</t>
    </r>
    <r>
      <rPr>
        <i/>
        <sz val="11"/>
        <rFont val="Calibri"/>
        <family val="2"/>
        <scheme val="minor"/>
      </rPr>
      <t xml:space="preserve"> Guía Técnica para la Selección y Diseño de Líneas de Tratamiento de Aguas Residuales (Bolivia, 2021)</t>
    </r>
  </si>
  <si>
    <r>
      <t xml:space="preserve">(CD) </t>
    </r>
    <r>
      <rPr>
        <i/>
        <sz val="11"/>
        <rFont val="Calibri"/>
        <family val="2"/>
        <scheme val="minor"/>
      </rPr>
      <t>Criterio/Recomendación CEDEX</t>
    </r>
  </si>
  <si>
    <r>
      <t xml:space="preserve">(DAE) </t>
    </r>
    <r>
      <rPr>
        <i/>
        <sz val="11"/>
        <color rgb="FF000000"/>
        <rFont val="Calibri"/>
        <family val="2"/>
      </rPr>
      <t>Contribución para el perfeccionamiento del diseño, la construcción y la operación de reactores UASB aplicados al tratamiento de aguas residuales urbanas (2019)</t>
    </r>
  </si>
  <si>
    <r>
      <t xml:space="preserve">(IWA) </t>
    </r>
    <r>
      <rPr>
        <i/>
        <sz val="11"/>
        <color rgb="FF000000"/>
        <rFont val="Calibri"/>
        <family val="2"/>
      </rPr>
      <t>Biological Wastewater Treatment in Warm Climate Regions. Von Sperling, M. &amp; Chernicharo, C. A. (2005)</t>
    </r>
  </si>
  <si>
    <r>
      <rPr>
        <i/>
        <sz val="11"/>
        <color theme="5"/>
        <rFont val="Calibri"/>
        <family val="2"/>
        <scheme val="minor"/>
      </rPr>
      <t>(NB688)</t>
    </r>
    <r>
      <rPr>
        <i/>
        <sz val="11"/>
        <rFont val="Calibri"/>
        <family val="2"/>
        <scheme val="minor"/>
      </rPr>
      <t xml:space="preserve"> Norma Boliviana de instalaciones sanitarias-alcantarillado pluvial, sanitario y tratamiento de aguas residuales (2001)</t>
    </r>
  </si>
  <si>
    <r>
      <rPr>
        <i/>
        <sz val="11"/>
        <color theme="5"/>
        <rFont val="Calibri"/>
        <family val="2"/>
        <scheme val="minor"/>
      </rPr>
      <t>(ProBio)</t>
    </r>
    <r>
      <rPr>
        <i/>
        <sz val="11"/>
        <color theme="1"/>
        <rFont val="Calibri"/>
        <family val="2"/>
        <scheme val="minor"/>
      </rPr>
      <t xml:space="preserve"> ProBio1. Programa de estimativa de produçao de biogás en reactores UASB. Fundamentaçao teorica (2015)</t>
    </r>
  </si>
  <si>
    <t>Para la partida "barandillas, accesos, etc." se considera un costo equivalente a un porcentaje del resto de costos de obra civil que no sean ni urbanización ni excavación.</t>
  </si>
  <si>
    <t>Para la partida "separador trifásico" se considera el costo de los componentes metálicos requeridos y pintura.</t>
  </si>
  <si>
    <r>
      <t xml:space="preserve"> </t>
    </r>
    <r>
      <rPr>
        <i/>
        <sz val="11"/>
        <rFont val="Calibri"/>
        <family val="2"/>
        <scheme val="minor"/>
      </rPr>
      <t>Criterio/Recomendación CEDEX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</si>
</sst>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&quot;Tierra=1&quot;&quot;Roca=2&quot;"/>
    <numFmt numFmtId="166" formatCode="0.0E+00"/>
    <numFmt numFmtId="167" formatCode="0.000"/>
    <numFmt numFmtId="168" formatCode="0.0"/>
    <numFmt numFmtId="169" formatCode="0.0%"/>
    <numFmt numFmtId="170" formatCode="[Red]&quot;   &quot;;[Black]&quot;    &quot;"/>
    <numFmt numFmtId="171" formatCode="\ #;[Red]0.00"/>
    <numFmt numFmtId="172" formatCode="&quot;Exceso sobre el necesario&quot;\ 0\ &quot;%&quot;"/>
    <numFmt numFmtId="173" formatCode="0.E+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Segoe UI"/>
      <family val="2"/>
    </font>
    <font>
      <sz val="11"/>
      <color theme="5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2"/>
      <name val="Calibri"/>
      <family val="2"/>
    </font>
    <font>
      <sz val="11"/>
      <color rgb="FF4472C4"/>
      <name val="Calibri"/>
      <family val="2"/>
      <scheme val="minor"/>
    </font>
    <font>
      <sz val="11"/>
      <color rgb="FFED7D3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indexed="8"/>
      <name val="Calibri"/>
      <family val="2"/>
    </font>
    <font>
      <vertAlign val="subscript"/>
      <sz val="11"/>
      <name val="Calibri"/>
      <family val="2"/>
      <scheme val="minor"/>
    </font>
    <font>
      <sz val="11"/>
      <color theme="5"/>
      <name val="Calibri"/>
      <family val="2"/>
    </font>
    <font>
      <sz val="11"/>
      <color rgb="FFED7D3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</font>
    <font>
      <b/>
      <sz val="11"/>
      <color rgb="FFFF0000"/>
      <name val="Calibri"/>
      <family val="2"/>
    </font>
    <font>
      <strike/>
      <sz val="11"/>
      <color theme="7"/>
      <name val="Calibri"/>
      <family val="2"/>
      <scheme val="minor"/>
    </font>
    <font>
      <sz val="11"/>
      <color theme="7"/>
      <name val="Calibri"/>
      <family val="2"/>
    </font>
    <font>
      <vertAlign val="subscript"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11"/>
      <color rgb="FFFFC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name val="Calibri"/>
      <family val="2"/>
      <charset val="1"/>
    </font>
    <font>
      <sz val="8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theme="5"/>
      <name val="Calibri"/>
      <family val="2"/>
    </font>
    <font>
      <i/>
      <sz val="11"/>
      <color theme="5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ED7D31"/>
      <name val="Calibri"/>
      <family val="2"/>
    </font>
    <font>
      <i/>
      <sz val="11"/>
      <color rgb="FF00B0F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E1F2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94">
    <xf numFmtId="0" fontId="0" fillId="0" borderId="0" xfId="0"/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13" fillId="3" borderId="1" xfId="2" applyFont="1" applyFill="1" applyBorder="1" applyAlignment="1">
      <alignment horizontal="left"/>
    </xf>
    <xf numFmtId="0" fontId="13" fillId="3" borderId="2" xfId="2" applyFont="1" applyFill="1" applyBorder="1" applyAlignment="1">
      <alignment horizontal="left"/>
    </xf>
    <xf numFmtId="0" fontId="13" fillId="3" borderId="15" xfId="2" applyFont="1" applyFill="1" applyBorder="1" applyAlignment="1">
      <alignment horizontal="left"/>
    </xf>
    <xf numFmtId="0" fontId="13" fillId="3" borderId="3" xfId="2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3" fontId="0" fillId="0" borderId="20" xfId="0" applyNumberFormat="1" applyBorder="1"/>
    <xf numFmtId="0" fontId="0" fillId="0" borderId="22" xfId="0" applyBorder="1"/>
    <xf numFmtId="0" fontId="14" fillId="0" borderId="0" xfId="0" applyFont="1" applyAlignment="1">
      <alignment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3" fillId="3" borderId="5" xfId="2" applyFont="1" applyFill="1" applyBorder="1" applyAlignment="1">
      <alignment horizontal="left"/>
    </xf>
    <xf numFmtId="0" fontId="13" fillId="3" borderId="20" xfId="2" applyFont="1" applyFill="1" applyBorder="1" applyAlignment="1">
      <alignment horizontal="left"/>
    </xf>
    <xf numFmtId="165" fontId="0" fillId="0" borderId="20" xfId="0" applyNumberFormat="1" applyBorder="1"/>
    <xf numFmtId="0" fontId="0" fillId="0" borderId="27" xfId="0" applyBorder="1"/>
    <xf numFmtId="0" fontId="0" fillId="0" borderId="28" xfId="0" applyBorder="1"/>
    <xf numFmtId="0" fontId="13" fillId="3" borderId="7" xfId="2" applyFont="1" applyFill="1" applyBorder="1" applyAlignment="1">
      <alignment horizontal="left"/>
    </xf>
    <xf numFmtId="0" fontId="0" fillId="0" borderId="5" xfId="0" applyBorder="1"/>
    <xf numFmtId="4" fontId="0" fillId="0" borderId="0" xfId="0" applyNumberFormat="1"/>
    <xf numFmtId="0" fontId="0" fillId="0" borderId="7" xfId="0" applyBorder="1"/>
    <xf numFmtId="0" fontId="0" fillId="0" borderId="4" xfId="0" applyBorder="1"/>
    <xf numFmtId="0" fontId="18" fillId="0" borderId="0" xfId="0" applyFont="1" applyAlignment="1">
      <alignment horizontal="right"/>
    </xf>
    <xf numFmtId="0" fontId="18" fillId="0" borderId="0" xfId="0" applyFont="1"/>
    <xf numFmtId="3" fontId="0" fillId="2" borderId="20" xfId="0" applyNumberFormat="1" applyFill="1" applyBorder="1"/>
    <xf numFmtId="0" fontId="18" fillId="0" borderId="20" xfId="0" applyFont="1" applyBorder="1"/>
    <xf numFmtId="4" fontId="0" fillId="0" borderId="20" xfId="0" applyNumberFormat="1" applyBorder="1"/>
    <xf numFmtId="0" fontId="13" fillId="3" borderId="4" xfId="2" applyFont="1" applyFill="1" applyBorder="1" applyAlignment="1">
      <alignment horizontal="left"/>
    </xf>
    <xf numFmtId="164" fontId="0" fillId="0" borderId="20" xfId="0" applyNumberFormat="1" applyBorder="1"/>
    <xf numFmtId="3" fontId="0" fillId="0" borderId="12" xfId="0" applyNumberFormat="1" applyBorder="1"/>
    <xf numFmtId="0" fontId="0" fillId="0" borderId="12" xfId="0" applyBorder="1"/>
    <xf numFmtId="4" fontId="0" fillId="0" borderId="21" xfId="0" applyNumberFormat="1" applyBorder="1"/>
    <xf numFmtId="4" fontId="0" fillId="0" borderId="24" xfId="0" applyNumberFormat="1" applyBorder="1"/>
    <xf numFmtId="0" fontId="0" fillId="0" borderId="30" xfId="0" applyBorder="1"/>
    <xf numFmtId="0" fontId="9" fillId="0" borderId="5" xfId="0" applyFont="1" applyBorder="1"/>
    <xf numFmtId="0" fontId="9" fillId="0" borderId="7" xfId="0" applyFont="1" applyBorder="1"/>
    <xf numFmtId="0" fontId="9" fillId="0" borderId="20" xfId="0" applyFont="1" applyBorder="1"/>
    <xf numFmtId="4" fontId="0" fillId="0" borderId="10" xfId="0" applyNumberFormat="1" applyBorder="1"/>
    <xf numFmtId="0" fontId="0" fillId="0" borderId="10" xfId="0" applyBorder="1"/>
    <xf numFmtId="0" fontId="9" fillId="0" borderId="10" xfId="0" applyFont="1" applyBorder="1"/>
    <xf numFmtId="0" fontId="0" fillId="0" borderId="33" xfId="0" applyBorder="1"/>
    <xf numFmtId="167" fontId="0" fillId="0" borderId="0" xfId="0" applyNumberFormat="1"/>
    <xf numFmtId="2" fontId="0" fillId="0" borderId="0" xfId="0" applyNumberFormat="1"/>
    <xf numFmtId="0" fontId="11" fillId="0" borderId="0" xfId="0" applyFont="1"/>
    <xf numFmtId="0" fontId="18" fillId="0" borderId="30" xfId="0" applyFont="1" applyBorder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3" fillId="3" borderId="16" xfId="2" applyFont="1" applyFill="1" applyBorder="1" applyAlignment="1">
      <alignment horizontal="left"/>
    </xf>
    <xf numFmtId="4" fontId="0" fillId="0" borderId="30" xfId="0" applyNumberFormat="1" applyBorder="1"/>
    <xf numFmtId="3" fontId="0" fillId="0" borderId="30" xfId="0" applyNumberFormat="1" applyBorder="1"/>
    <xf numFmtId="0" fontId="24" fillId="0" borderId="0" xfId="0" applyFont="1"/>
    <xf numFmtId="0" fontId="9" fillId="0" borderId="19" xfId="0" applyFont="1" applyBorder="1"/>
    <xf numFmtId="0" fontId="0" fillId="0" borderId="37" xfId="0" applyBorder="1"/>
    <xf numFmtId="0" fontId="13" fillId="3" borderId="18" xfId="2" applyFont="1" applyFill="1" applyBorder="1" applyAlignment="1">
      <alignment horizontal="left"/>
    </xf>
    <xf numFmtId="0" fontId="0" fillId="0" borderId="13" xfId="0" applyBorder="1"/>
    <xf numFmtId="4" fontId="0" fillId="0" borderId="25" xfId="0" applyNumberFormat="1" applyBorder="1"/>
    <xf numFmtId="0" fontId="13" fillId="3" borderId="39" xfId="2" applyFont="1" applyFill="1" applyBorder="1" applyAlignment="1">
      <alignment horizontal="left"/>
    </xf>
    <xf numFmtId="0" fontId="13" fillId="3" borderId="40" xfId="2" applyFont="1" applyFill="1" applyBorder="1" applyAlignment="1">
      <alignment horizontal="left"/>
    </xf>
    <xf numFmtId="0" fontId="0" fillId="0" borderId="41" xfId="0" applyBorder="1"/>
    <xf numFmtId="0" fontId="0" fillId="0" borderId="42" xfId="0" applyBorder="1"/>
    <xf numFmtId="0" fontId="13" fillId="3" borderId="44" xfId="2" applyFont="1" applyFill="1" applyBorder="1" applyAlignment="1">
      <alignment horizontal="left"/>
    </xf>
    <xf numFmtId="0" fontId="0" fillId="0" borderId="45" xfId="0" applyBorder="1"/>
    <xf numFmtId="0" fontId="0" fillId="0" borderId="48" xfId="0" applyBorder="1"/>
    <xf numFmtId="0" fontId="0" fillId="0" borderId="50" xfId="0" applyBorder="1"/>
    <xf numFmtId="3" fontId="0" fillId="7" borderId="20" xfId="0" applyNumberFormat="1" applyFill="1" applyBorder="1"/>
    <xf numFmtId="0" fontId="0" fillId="0" borderId="52" xfId="0" applyBorder="1"/>
    <xf numFmtId="0" fontId="0" fillId="0" borderId="53" xfId="0" applyBorder="1"/>
    <xf numFmtId="0" fontId="0" fillId="0" borderId="58" xfId="0" applyBorder="1"/>
    <xf numFmtId="0" fontId="29" fillId="0" borderId="20" xfId="0" applyFont="1" applyBorder="1"/>
    <xf numFmtId="0" fontId="13" fillId="3" borderId="61" xfId="2" applyFont="1" applyFill="1" applyBorder="1" applyAlignment="1">
      <alignment horizontal="left"/>
    </xf>
    <xf numFmtId="0" fontId="0" fillId="0" borderId="62" xfId="0" applyBorder="1"/>
    <xf numFmtId="0" fontId="13" fillId="3" borderId="64" xfId="2" applyFont="1" applyFill="1" applyBorder="1" applyAlignment="1">
      <alignment horizontal="left"/>
    </xf>
    <xf numFmtId="0" fontId="13" fillId="3" borderId="65" xfId="2" applyFont="1" applyFill="1" applyBorder="1" applyAlignment="1">
      <alignment horizontal="left"/>
    </xf>
    <xf numFmtId="3" fontId="0" fillId="0" borderId="52" xfId="0" applyNumberFormat="1" applyBorder="1"/>
    <xf numFmtId="0" fontId="0" fillId="0" borderId="67" xfId="0" applyBorder="1"/>
    <xf numFmtId="0" fontId="29" fillId="0" borderId="0" xfId="0" applyFont="1"/>
    <xf numFmtId="3" fontId="0" fillId="0" borderId="69" xfId="0" applyNumberFormat="1" applyBorder="1"/>
    <xf numFmtId="0" fontId="0" fillId="0" borderId="70" xfId="0" applyBorder="1"/>
    <xf numFmtId="0" fontId="13" fillId="3" borderId="72" xfId="2" applyFont="1" applyFill="1" applyBorder="1" applyAlignment="1">
      <alignment horizontal="left"/>
    </xf>
    <xf numFmtId="0" fontId="0" fillId="0" borderId="72" xfId="0" applyBorder="1"/>
    <xf numFmtId="0" fontId="13" fillId="3" borderId="74" xfId="2" applyFont="1" applyFill="1" applyBorder="1" applyAlignment="1">
      <alignment horizontal="left"/>
    </xf>
    <xf numFmtId="0" fontId="0" fillId="0" borderId="73" xfId="0" applyBorder="1"/>
    <xf numFmtId="0" fontId="0" fillId="0" borderId="49" xfId="0" applyBorder="1"/>
    <xf numFmtId="164" fontId="0" fillId="0" borderId="52" xfId="0" applyNumberFormat="1" applyBorder="1"/>
    <xf numFmtId="0" fontId="13" fillId="3" borderId="77" xfId="2" applyFont="1" applyFill="1" applyBorder="1" applyAlignment="1">
      <alignment horizontal="left"/>
    </xf>
    <xf numFmtId="0" fontId="0" fillId="0" borderId="74" xfId="0" applyBorder="1"/>
    <xf numFmtId="0" fontId="0" fillId="0" borderId="79" xfId="0" applyBorder="1"/>
    <xf numFmtId="0" fontId="0" fillId="0" borderId="78" xfId="0" applyBorder="1"/>
    <xf numFmtId="3" fontId="0" fillId="2" borderId="79" xfId="0" applyNumberFormat="1" applyFill="1" applyBorder="1" applyProtection="1">
      <protection locked="0"/>
    </xf>
    <xf numFmtId="0" fontId="0" fillId="0" borderId="80" xfId="0" applyBorder="1"/>
    <xf numFmtId="0" fontId="0" fillId="0" borderId="87" xfId="0" applyBorder="1"/>
    <xf numFmtId="0" fontId="0" fillId="0" borderId="88" xfId="0" applyBorder="1"/>
    <xf numFmtId="0" fontId="0" fillId="0" borderId="86" xfId="0" applyBorder="1"/>
    <xf numFmtId="0" fontId="12" fillId="0" borderId="48" xfId="0" applyFont="1" applyBorder="1"/>
    <xf numFmtId="0" fontId="26" fillId="3" borderId="16" xfId="2" applyFont="1" applyFill="1" applyBorder="1" applyAlignment="1">
      <alignment horizontal="left"/>
    </xf>
    <xf numFmtId="4" fontId="0" fillId="0" borderId="50" xfId="0" applyNumberFormat="1" applyBorder="1"/>
    <xf numFmtId="0" fontId="13" fillId="3" borderId="83" xfId="2" applyFont="1" applyFill="1" applyBorder="1" applyAlignment="1">
      <alignment horizontal="left"/>
    </xf>
    <xf numFmtId="0" fontId="3" fillId="0" borderId="45" xfId="0" applyFont="1" applyBorder="1"/>
    <xf numFmtId="0" fontId="3" fillId="6" borderId="93" xfId="0" applyFont="1" applyFill="1" applyBorder="1" applyAlignment="1">
      <alignment horizontal="center"/>
    </xf>
    <xf numFmtId="0" fontId="3" fillId="6" borderId="71" xfId="0" applyFont="1" applyFill="1" applyBorder="1" applyAlignment="1">
      <alignment horizontal="center"/>
    </xf>
    <xf numFmtId="0" fontId="0" fillId="0" borderId="63" xfId="0" applyBorder="1"/>
    <xf numFmtId="0" fontId="0" fillId="0" borderId="97" xfId="0" applyBorder="1"/>
    <xf numFmtId="0" fontId="26" fillId="3" borderId="20" xfId="2" applyFont="1" applyFill="1" applyBorder="1" applyAlignment="1">
      <alignment horizontal="left"/>
    </xf>
    <xf numFmtId="0" fontId="23" fillId="0" borderId="47" xfId="0" applyFont="1" applyBorder="1"/>
    <xf numFmtId="0" fontId="26" fillId="3" borderId="65" xfId="2" applyFont="1" applyFill="1" applyBorder="1" applyAlignment="1">
      <alignment horizontal="left"/>
    </xf>
    <xf numFmtId="0" fontId="26" fillId="3" borderId="66" xfId="2" applyFont="1" applyFill="1" applyBorder="1" applyAlignment="1">
      <alignment horizontal="left"/>
    </xf>
    <xf numFmtId="0" fontId="21" fillId="0" borderId="20" xfId="0" applyFont="1" applyBorder="1"/>
    <xf numFmtId="164" fontId="0" fillId="0" borderId="50" xfId="0" applyNumberFormat="1" applyBorder="1"/>
    <xf numFmtId="0" fontId="12" fillId="0" borderId="62" xfId="0" applyFont="1" applyBorder="1"/>
    <xf numFmtId="0" fontId="2" fillId="0" borderId="0" xfId="0" applyFont="1"/>
    <xf numFmtId="3" fontId="0" fillId="0" borderId="50" xfId="0" applyNumberFormat="1" applyBorder="1"/>
    <xf numFmtId="0" fontId="18" fillId="0" borderId="21" xfId="0" applyFont="1" applyBorder="1"/>
    <xf numFmtId="1" fontId="18" fillId="0" borderId="0" xfId="0" applyNumberFormat="1" applyFont="1"/>
    <xf numFmtId="9" fontId="0" fillId="0" borderId="12" xfId="1" applyFont="1" applyFill="1" applyBorder="1"/>
    <xf numFmtId="164" fontId="0" fillId="0" borderId="12" xfId="0" applyNumberFormat="1" applyBorder="1"/>
    <xf numFmtId="0" fontId="18" fillId="0" borderId="42" xfId="0" applyFont="1" applyBorder="1"/>
    <xf numFmtId="0" fontId="7" fillId="0" borderId="41" xfId="0" applyFont="1" applyBorder="1"/>
    <xf numFmtId="0" fontId="29" fillId="0" borderId="41" xfId="0" applyFont="1" applyBorder="1"/>
    <xf numFmtId="0" fontId="18" fillId="0" borderId="35" xfId="0" applyFont="1" applyBorder="1"/>
    <xf numFmtId="0" fontId="9" fillId="0" borderId="12" xfId="0" applyFont="1" applyBorder="1"/>
    <xf numFmtId="0" fontId="37" fillId="0" borderId="0" xfId="0" applyFont="1"/>
    <xf numFmtId="4" fontId="29" fillId="0" borderId="0" xfId="0" applyNumberFormat="1" applyFont="1"/>
    <xf numFmtId="0" fontId="23" fillId="0" borderId="30" xfId="0" applyFont="1" applyBorder="1"/>
    <xf numFmtId="0" fontId="23" fillId="0" borderId="30" xfId="0" quotePrefix="1" applyFont="1" applyBorder="1"/>
    <xf numFmtId="0" fontId="23" fillId="0" borderId="0" xfId="0" quotePrefix="1" applyFont="1"/>
    <xf numFmtId="0" fontId="23" fillId="0" borderId="0" xfId="0" applyFont="1"/>
    <xf numFmtId="0" fontId="29" fillId="0" borderId="99" xfId="0" applyFont="1" applyBorder="1"/>
    <xf numFmtId="0" fontId="23" fillId="0" borderId="50" xfId="0" applyFont="1" applyBorder="1"/>
    <xf numFmtId="0" fontId="23" fillId="0" borderId="20" xfId="0" applyFont="1" applyBorder="1"/>
    <xf numFmtId="0" fontId="26" fillId="3" borderId="2" xfId="2" applyFont="1" applyFill="1" applyBorder="1" applyAlignment="1">
      <alignment horizontal="left"/>
    </xf>
    <xf numFmtId="11" fontId="31" fillId="0" borderId="34" xfId="2" applyNumberFormat="1" applyFont="1" applyBorder="1" applyAlignment="1">
      <alignment horizontal="left"/>
    </xf>
    <xf numFmtId="0" fontId="0" fillId="0" borderId="105" xfId="0" applyBorder="1"/>
    <xf numFmtId="0" fontId="0" fillId="0" borderId="106" xfId="0" applyBorder="1"/>
    <xf numFmtId="3" fontId="0" fillId="0" borderId="10" xfId="0" applyNumberFormat="1" applyBorder="1"/>
    <xf numFmtId="0" fontId="0" fillId="0" borderId="109" xfId="0" applyBorder="1"/>
    <xf numFmtId="0" fontId="9" fillId="0" borderId="45" xfId="0" applyFont="1" applyBorder="1"/>
    <xf numFmtId="0" fontId="13" fillId="3" borderId="103" xfId="2" applyFont="1" applyFill="1" applyBorder="1" applyAlignment="1">
      <alignment horizontal="left"/>
    </xf>
    <xf numFmtId="0" fontId="29" fillId="0" borderId="45" xfId="0" applyFont="1" applyBorder="1"/>
    <xf numFmtId="0" fontId="0" fillId="0" borderId="11" xfId="0" applyBorder="1"/>
    <xf numFmtId="0" fontId="0" fillId="0" borderId="117" xfId="0" applyBorder="1"/>
    <xf numFmtId="0" fontId="0" fillId="0" borderId="31" xfId="0" applyBorder="1"/>
    <xf numFmtId="0" fontId="0" fillId="0" borderId="14" xfId="0" applyBorder="1"/>
    <xf numFmtId="0" fontId="0" fillId="0" borderId="8" xfId="0" applyBorder="1"/>
    <xf numFmtId="4" fontId="0" fillId="0" borderId="118" xfId="0" applyNumberFormat="1" applyBorder="1"/>
    <xf numFmtId="4" fontId="0" fillId="0" borderId="9" xfId="0" applyNumberFormat="1" applyBorder="1"/>
    <xf numFmtId="4" fontId="0" fillId="0" borderId="80" xfId="0" applyNumberFormat="1" applyBorder="1"/>
    <xf numFmtId="0" fontId="0" fillId="0" borderId="116" xfId="0" applyBorder="1"/>
    <xf numFmtId="0" fontId="43" fillId="0" borderId="0" xfId="0" applyFont="1"/>
    <xf numFmtId="9" fontId="9" fillId="0" borderId="12" xfId="1" applyFont="1" applyBorder="1"/>
    <xf numFmtId="3" fontId="9" fillId="0" borderId="100" xfId="0" applyNumberFormat="1" applyFont="1" applyBorder="1"/>
    <xf numFmtId="0" fontId="9" fillId="0" borderId="38" xfId="0" applyFont="1" applyBorder="1"/>
    <xf numFmtId="169" fontId="0" fillId="0" borderId="50" xfId="0" applyNumberFormat="1" applyBorder="1"/>
    <xf numFmtId="3" fontId="29" fillId="0" borderId="20" xfId="0" applyNumberFormat="1" applyFont="1" applyBorder="1"/>
    <xf numFmtId="0" fontId="29" fillId="0" borderId="25" xfId="0" applyFont="1" applyBorder="1"/>
    <xf numFmtId="0" fontId="21" fillId="0" borderId="25" xfId="0" applyFont="1" applyBorder="1"/>
    <xf numFmtId="0" fontId="9" fillId="0" borderId="104" xfId="0" applyFont="1" applyBorder="1"/>
    <xf numFmtId="0" fontId="41" fillId="0" borderId="20" xfId="0" applyFont="1" applyBorder="1"/>
    <xf numFmtId="0" fontId="3" fillId="0" borderId="70" xfId="0" applyFont="1" applyBorder="1"/>
    <xf numFmtId="0" fontId="0" fillId="0" borderId="82" xfId="0" applyBorder="1"/>
    <xf numFmtId="4" fontId="13" fillId="0" borderId="0" xfId="2" applyNumberFormat="1" applyFont="1" applyAlignment="1">
      <alignment horizontal="right"/>
    </xf>
    <xf numFmtId="0" fontId="13" fillId="3" borderId="85" xfId="2" applyFont="1" applyFill="1" applyBorder="1" applyAlignment="1">
      <alignment horizontal="left"/>
    </xf>
    <xf numFmtId="0" fontId="0" fillId="0" borderId="115" xfId="0" applyBorder="1"/>
    <xf numFmtId="4" fontId="13" fillId="0" borderId="43" xfId="2" applyNumberFormat="1" applyFont="1" applyBorder="1" applyAlignment="1">
      <alignment horizontal="right"/>
    </xf>
    <xf numFmtId="0" fontId="9" fillId="0" borderId="80" xfId="0" applyFont="1" applyBorder="1"/>
    <xf numFmtId="0" fontId="9" fillId="0" borderId="50" xfId="0" applyFont="1" applyBorder="1"/>
    <xf numFmtId="10" fontId="0" fillId="4" borderId="8" xfId="0" applyNumberFormat="1" applyFill="1" applyBorder="1"/>
    <xf numFmtId="0" fontId="26" fillId="3" borderId="29" xfId="2" applyFont="1" applyFill="1" applyBorder="1" applyAlignment="1">
      <alignment horizontal="left"/>
    </xf>
    <xf numFmtId="164" fontId="0" fillId="0" borderId="81" xfId="0" applyNumberFormat="1" applyBorder="1"/>
    <xf numFmtId="168" fontId="0" fillId="0" borderId="0" xfId="0" applyNumberFormat="1"/>
    <xf numFmtId="0" fontId="3" fillId="0" borderId="110" xfId="0" applyFont="1" applyBorder="1"/>
    <xf numFmtId="3" fontId="9" fillId="0" borderId="69" xfId="0" applyNumberFormat="1" applyFont="1" applyBorder="1"/>
    <xf numFmtId="0" fontId="19" fillId="0" borderId="13" xfId="0" applyFont="1" applyBorder="1"/>
    <xf numFmtId="0" fontId="18" fillId="0" borderId="13" xfId="0" applyFont="1" applyBorder="1"/>
    <xf numFmtId="0" fontId="18" fillId="0" borderId="108" xfId="0" applyFont="1" applyBorder="1"/>
    <xf numFmtId="11" fontId="6" fillId="0" borderId="24" xfId="2" applyNumberFormat="1" applyFont="1" applyBorder="1" applyAlignment="1">
      <alignment horizontal="right"/>
    </xf>
    <xf numFmtId="0" fontId="38" fillId="0" borderId="0" xfId="0" applyFont="1"/>
    <xf numFmtId="0" fontId="9" fillId="0" borderId="31" xfId="0" applyFont="1" applyBorder="1"/>
    <xf numFmtId="0" fontId="13" fillId="3" borderId="119" xfId="2" applyFont="1" applyFill="1" applyBorder="1" applyAlignment="1">
      <alignment horizontal="left"/>
    </xf>
    <xf numFmtId="9" fontId="29" fillId="0" borderId="12" xfId="0" applyNumberFormat="1" applyFont="1" applyBorder="1"/>
    <xf numFmtId="0" fontId="21" fillId="0" borderId="19" xfId="0" applyFont="1" applyBorder="1"/>
    <xf numFmtId="0" fontId="0" fillId="0" borderId="90" xfId="0" applyBorder="1"/>
    <xf numFmtId="0" fontId="12" fillId="0" borderId="90" xfId="0" applyFont="1" applyBorder="1"/>
    <xf numFmtId="3" fontId="6" fillId="2" borderId="90" xfId="2" applyNumberFormat="1" applyFont="1" applyFill="1" applyBorder="1" applyAlignment="1">
      <alignment horizontal="left"/>
    </xf>
    <xf numFmtId="3" fontId="8" fillId="2" borderId="90" xfId="2" applyNumberFormat="1" applyFont="1" applyFill="1" applyBorder="1" applyAlignment="1">
      <alignment horizontal="left"/>
    </xf>
    <xf numFmtId="3" fontId="10" fillId="0" borderId="90" xfId="2" applyNumberFormat="1" applyFont="1" applyBorder="1" applyAlignment="1">
      <alignment horizontal="left" vertical="center"/>
    </xf>
    <xf numFmtId="0" fontId="9" fillId="0" borderId="90" xfId="0" applyFont="1" applyBorder="1" applyAlignment="1">
      <alignment horizontal="left"/>
    </xf>
    <xf numFmtId="0" fontId="11" fillId="0" borderId="90" xfId="0" applyFont="1" applyBorder="1" applyAlignment="1">
      <alignment horizontal="left"/>
    </xf>
    <xf numFmtId="4" fontId="3" fillId="0" borderId="50" xfId="0" applyNumberFormat="1" applyFont="1" applyBorder="1"/>
    <xf numFmtId="0" fontId="0" fillId="0" borderId="55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14" xfId="0" applyBorder="1" applyAlignment="1">
      <alignment horizontal="center"/>
    </xf>
    <xf numFmtId="0" fontId="0" fillId="0" borderId="122" xfId="0" applyBorder="1" applyAlignment="1">
      <alignment horizontal="center"/>
    </xf>
    <xf numFmtId="0" fontId="0" fillId="0" borderId="112" xfId="0" applyBorder="1" applyAlignment="1">
      <alignment horizontal="center"/>
    </xf>
    <xf numFmtId="0" fontId="3" fillId="0" borderId="54" xfId="0" applyFont="1" applyBorder="1" applyAlignment="1">
      <alignment vertical="center"/>
    </xf>
    <xf numFmtId="0" fontId="13" fillId="0" borderId="57" xfId="2" applyFont="1" applyBorder="1" applyAlignment="1">
      <alignment horizontal="left"/>
    </xf>
    <xf numFmtId="0" fontId="26" fillId="0" borderId="57" xfId="2" applyFont="1" applyBorder="1" applyAlignment="1">
      <alignment horizontal="left"/>
    </xf>
    <xf numFmtId="0" fontId="13" fillId="0" borderId="73" xfId="2" applyFont="1" applyBorder="1" applyAlignment="1">
      <alignment horizontal="left"/>
    </xf>
    <xf numFmtId="0" fontId="13" fillId="0" borderId="72" xfId="2" applyFont="1" applyBorder="1" applyAlignment="1">
      <alignment horizontal="left"/>
    </xf>
    <xf numFmtId="0" fontId="3" fillId="0" borderId="46" xfId="0" applyFont="1" applyBorder="1" applyAlignment="1">
      <alignment vertical="center"/>
    </xf>
    <xf numFmtId="0" fontId="0" fillId="4" borderId="41" xfId="0" applyFill="1" applyBorder="1" applyAlignment="1">
      <alignment vertical="center"/>
    </xf>
    <xf numFmtId="0" fontId="18" fillId="0" borderId="48" xfId="0" applyFont="1" applyBorder="1"/>
    <xf numFmtId="0" fontId="0" fillId="4" borderId="51" xfId="0" applyFill="1" applyBorder="1" applyAlignment="1">
      <alignment vertical="center"/>
    </xf>
    <xf numFmtId="0" fontId="18" fillId="0" borderId="52" xfId="0" applyFont="1" applyBorder="1"/>
    <xf numFmtId="0" fontId="18" fillId="0" borderId="53" xfId="0" applyFont="1" applyBorder="1"/>
    <xf numFmtId="3" fontId="3" fillId="0" borderId="50" xfId="0" applyNumberFormat="1" applyFont="1" applyBorder="1"/>
    <xf numFmtId="3" fontId="3" fillId="0" borderId="81" xfId="0" applyNumberFormat="1" applyFont="1" applyBorder="1"/>
    <xf numFmtId="0" fontId="13" fillId="3" borderId="63" xfId="2" applyFont="1" applyFill="1" applyBorder="1" applyAlignment="1">
      <alignment horizontal="left"/>
    </xf>
    <xf numFmtId="0" fontId="12" fillId="0" borderId="58" xfId="0" applyFont="1" applyBorder="1"/>
    <xf numFmtId="0" fontId="7" fillId="0" borderId="45" xfId="0" applyFont="1" applyBorder="1"/>
    <xf numFmtId="0" fontId="21" fillId="0" borderId="50" xfId="0" applyFont="1" applyBorder="1"/>
    <xf numFmtId="0" fontId="41" fillId="0" borderId="35" xfId="0" applyFont="1" applyBorder="1"/>
    <xf numFmtId="0" fontId="0" fillId="0" borderId="45" xfId="0" applyBorder="1" applyAlignment="1">
      <alignment vertical="center"/>
    </xf>
    <xf numFmtId="0" fontId="0" fillId="0" borderId="70" xfId="0" applyBorder="1" applyAlignment="1">
      <alignment vertical="center"/>
    </xf>
    <xf numFmtId="0" fontId="21" fillId="0" borderId="50" xfId="0" quotePrefix="1" applyFont="1" applyBorder="1"/>
    <xf numFmtId="0" fontId="21" fillId="0" borderId="30" xfId="0" applyFont="1" applyBorder="1"/>
    <xf numFmtId="0" fontId="29" fillId="0" borderId="94" xfId="0" applyFont="1" applyBorder="1" applyAlignment="1">
      <alignment horizontal="center"/>
    </xf>
    <xf numFmtId="0" fontId="29" fillId="0" borderId="68" xfId="0" applyFont="1" applyBorder="1" applyAlignment="1">
      <alignment horizontal="center"/>
    </xf>
    <xf numFmtId="0" fontId="29" fillId="0" borderId="91" xfId="0" applyFont="1" applyBorder="1" applyAlignment="1">
      <alignment horizontal="center"/>
    </xf>
    <xf numFmtId="0" fontId="29" fillId="0" borderId="92" xfId="0" applyFont="1" applyBorder="1" applyAlignment="1">
      <alignment horizontal="center"/>
    </xf>
    <xf numFmtId="0" fontId="29" fillId="0" borderId="93" xfId="0" applyFont="1" applyBorder="1" applyAlignment="1">
      <alignment horizontal="center"/>
    </xf>
    <xf numFmtId="0" fontId="29" fillId="0" borderId="71" xfId="0" applyFont="1" applyBorder="1" applyAlignment="1">
      <alignment horizontal="center"/>
    </xf>
    <xf numFmtId="0" fontId="21" fillId="0" borderId="80" xfId="0" applyFont="1" applyBorder="1"/>
    <xf numFmtId="0" fontId="23" fillId="0" borderId="60" xfId="0" applyFont="1" applyBorder="1"/>
    <xf numFmtId="3" fontId="0" fillId="0" borderId="80" xfId="0" applyNumberFormat="1" applyBorder="1"/>
    <xf numFmtId="0" fontId="41" fillId="0" borderId="50" xfId="0" applyFont="1" applyBorder="1"/>
    <xf numFmtId="0" fontId="0" fillId="0" borderId="19" xfId="0" applyBorder="1" applyAlignment="1">
      <alignment vertical="center"/>
    </xf>
    <xf numFmtId="0" fontId="37" fillId="0" borderId="59" xfId="0" applyFont="1" applyBorder="1"/>
    <xf numFmtId="0" fontId="39" fillId="0" borderId="53" xfId="0" applyFont="1" applyBorder="1"/>
    <xf numFmtId="170" fontId="21" fillId="0" borderId="50" xfId="0" applyNumberFormat="1" applyFont="1" applyBorder="1"/>
    <xf numFmtId="171" fontId="0" fillId="0" borderId="0" xfId="0" applyNumberFormat="1"/>
    <xf numFmtId="169" fontId="0" fillId="0" borderId="20" xfId="0" applyNumberFormat="1" applyBorder="1"/>
    <xf numFmtId="0" fontId="13" fillId="5" borderId="98" xfId="0" applyFont="1" applyFill="1" applyBorder="1" applyAlignment="1">
      <alignment horizontal="left"/>
    </xf>
    <xf numFmtId="0" fontId="7" fillId="0" borderId="109" xfId="2" applyFont="1" applyBorder="1"/>
    <xf numFmtId="0" fontId="7" fillId="0" borderId="19" xfId="2" applyFont="1" applyBorder="1"/>
    <xf numFmtId="0" fontId="29" fillId="0" borderId="19" xfId="2" applyFont="1" applyBorder="1"/>
    <xf numFmtId="0" fontId="21" fillId="0" borderId="19" xfId="2" applyFont="1" applyBorder="1"/>
    <xf numFmtId="11" fontId="31" fillId="0" borderId="25" xfId="2" applyNumberFormat="1" applyFont="1" applyBorder="1" applyAlignment="1">
      <alignment horizontal="left"/>
    </xf>
    <xf numFmtId="11" fontId="31" fillId="0" borderId="17" xfId="2" applyNumberFormat="1" applyFont="1" applyBorder="1" applyAlignment="1">
      <alignment horizontal="left"/>
    </xf>
    <xf numFmtId="3" fontId="27" fillId="0" borderId="17" xfId="2" applyNumberFormat="1" applyFont="1" applyBorder="1" applyAlignment="1">
      <alignment horizontal="right"/>
    </xf>
    <xf numFmtId="3" fontId="27" fillId="0" borderId="33" xfId="2" applyNumberFormat="1" applyFont="1" applyBorder="1" applyAlignment="1">
      <alignment horizontal="right"/>
    </xf>
    <xf numFmtId="0" fontId="41" fillId="0" borderId="25" xfId="0" applyFont="1" applyBorder="1"/>
    <xf numFmtId="0" fontId="12" fillId="0" borderId="25" xfId="0" applyFont="1" applyBorder="1"/>
    <xf numFmtId="0" fontId="18" fillId="0" borderId="35" xfId="0" quotePrefix="1" applyFont="1" applyBorder="1"/>
    <xf numFmtId="0" fontId="21" fillId="0" borderId="104" xfId="0" applyFont="1" applyBorder="1"/>
    <xf numFmtId="0" fontId="9" fillId="0" borderId="52" xfId="0" applyFont="1" applyBorder="1"/>
    <xf numFmtId="0" fontId="0" fillId="0" borderId="91" xfId="0" applyBorder="1" applyAlignment="1">
      <alignment vertical="center"/>
    </xf>
    <xf numFmtId="3" fontId="0" fillId="0" borderId="126" xfId="0" applyNumberFormat="1" applyBorder="1"/>
    <xf numFmtId="0" fontId="9" fillId="0" borderId="127" xfId="0" applyFont="1" applyBorder="1"/>
    <xf numFmtId="0" fontId="0" fillId="0" borderId="128" xfId="0" applyBorder="1"/>
    <xf numFmtId="0" fontId="9" fillId="0" borderId="95" xfId="0" applyFont="1" applyBorder="1"/>
    <xf numFmtId="0" fontId="9" fillId="0" borderId="60" xfId="0" applyFont="1" applyBorder="1"/>
    <xf numFmtId="0" fontId="12" fillId="0" borderId="0" xfId="0" quotePrefix="1" applyFont="1"/>
    <xf numFmtId="9" fontId="0" fillId="0" borderId="20" xfId="1" applyFont="1" applyBorder="1"/>
    <xf numFmtId="0" fontId="21" fillId="0" borderId="81" xfId="0" applyFont="1" applyBorder="1"/>
    <xf numFmtId="172" fontId="11" fillId="0" borderId="21" xfId="0" applyNumberFormat="1" applyFont="1" applyBorder="1" applyAlignment="1">
      <alignment horizontal="left"/>
    </xf>
    <xf numFmtId="0" fontId="13" fillId="3" borderId="120" xfId="2" applyFont="1" applyFill="1" applyBorder="1" applyAlignment="1">
      <alignment horizontal="left"/>
    </xf>
    <xf numFmtId="0" fontId="13" fillId="3" borderId="121" xfId="2" applyFont="1" applyFill="1" applyBorder="1" applyAlignment="1">
      <alignment horizontal="left"/>
    </xf>
    <xf numFmtId="0" fontId="9" fillId="0" borderId="74" xfId="0" applyFont="1" applyBorder="1"/>
    <xf numFmtId="0" fontId="40" fillId="0" borderId="48" xfId="0" applyFont="1" applyBorder="1"/>
    <xf numFmtId="0" fontId="40" fillId="0" borderId="50" xfId="0" applyFont="1" applyBorder="1"/>
    <xf numFmtId="0" fontId="3" fillId="0" borderId="90" xfId="0" applyFont="1" applyBorder="1"/>
    <xf numFmtId="0" fontId="9" fillId="0" borderId="30" xfId="0" applyFont="1" applyBorder="1" applyAlignment="1">
      <alignment horizontal="center"/>
    </xf>
    <xf numFmtId="0" fontId="9" fillId="0" borderId="14" xfId="0" applyFont="1" applyBorder="1"/>
    <xf numFmtId="0" fontId="9" fillId="0" borderId="35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1" fillId="0" borderId="20" xfId="0" applyFont="1" applyBorder="1" applyAlignment="1">
      <alignment horizontal="center" vertical="center"/>
    </xf>
    <xf numFmtId="4" fontId="9" fillId="2" borderId="21" xfId="0" applyNumberFormat="1" applyFont="1" applyFill="1" applyBorder="1" applyAlignment="1">
      <alignment horizontal="center"/>
    </xf>
    <xf numFmtId="4" fontId="9" fillId="2" borderId="13" xfId="0" applyNumberFormat="1" applyFont="1" applyFill="1" applyBorder="1" applyAlignment="1">
      <alignment horizontal="center"/>
    </xf>
    <xf numFmtId="0" fontId="9" fillId="0" borderId="36" xfId="0" applyFont="1" applyBorder="1"/>
    <xf numFmtId="0" fontId="9" fillId="0" borderId="34" xfId="0" applyFont="1" applyBorder="1" applyAlignment="1">
      <alignment horizontal="center"/>
    </xf>
    <xf numFmtId="0" fontId="9" fillId="0" borderId="129" xfId="0" applyFont="1" applyBorder="1"/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36" xfId="0" applyFont="1" applyBorder="1"/>
    <xf numFmtId="0" fontId="21" fillId="0" borderId="10" xfId="0" applyFont="1" applyBorder="1" applyAlignment="1">
      <alignment horizontal="center" vertical="center"/>
    </xf>
    <xf numFmtId="0" fontId="9" fillId="0" borderId="111" xfId="0" applyFont="1" applyBorder="1"/>
    <xf numFmtId="0" fontId="9" fillId="0" borderId="132" xfId="0" applyFont="1" applyBorder="1" applyAlignment="1">
      <alignment horizontal="center"/>
    </xf>
    <xf numFmtId="2" fontId="47" fillId="0" borderId="0" xfId="0" applyNumberFormat="1" applyFont="1"/>
    <xf numFmtId="0" fontId="9" fillId="0" borderId="70" xfId="0" applyFont="1" applyBorder="1"/>
    <xf numFmtId="0" fontId="45" fillId="0" borderId="21" xfId="0" applyFont="1" applyBorder="1"/>
    <xf numFmtId="0" fontId="38" fillId="0" borderId="0" xfId="0" quotePrefix="1" applyFont="1"/>
    <xf numFmtId="0" fontId="18" fillId="0" borderId="11" xfId="0" applyFont="1" applyBorder="1"/>
    <xf numFmtId="0" fontId="13" fillId="3" borderId="102" xfId="2" applyFont="1" applyFill="1" applyBorder="1" applyAlignment="1">
      <alignment horizontal="left"/>
    </xf>
    <xf numFmtId="0" fontId="12" fillId="0" borderId="43" xfId="0" applyFont="1" applyBorder="1"/>
    <xf numFmtId="0" fontId="3" fillId="0" borderId="125" xfId="0" applyFont="1" applyBorder="1"/>
    <xf numFmtId="4" fontId="3" fillId="0" borderId="87" xfId="0" applyNumberFormat="1" applyFont="1" applyBorder="1"/>
    <xf numFmtId="0" fontId="41" fillId="0" borderId="0" xfId="0" applyFont="1"/>
    <xf numFmtId="11" fontId="31" fillId="0" borderId="76" xfId="2" applyNumberFormat="1" applyFont="1" applyBorder="1" applyAlignment="1">
      <alignment horizontal="left"/>
    </xf>
    <xf numFmtId="0" fontId="41" fillId="0" borderId="56" xfId="0" applyFont="1" applyBorder="1"/>
    <xf numFmtId="0" fontId="13" fillId="3" borderId="54" xfId="2" applyFont="1" applyFill="1" applyBorder="1" applyAlignment="1">
      <alignment horizontal="center" vertical="center"/>
    </xf>
    <xf numFmtId="0" fontId="13" fillId="3" borderId="57" xfId="2" applyFont="1" applyFill="1" applyBorder="1" applyAlignment="1">
      <alignment horizontal="center" vertical="center"/>
    </xf>
    <xf numFmtId="0" fontId="13" fillId="3" borderId="57" xfId="2" applyFont="1" applyFill="1" applyBorder="1" applyAlignment="1">
      <alignment horizontal="center" vertical="center" wrapText="1"/>
    </xf>
    <xf numFmtId="0" fontId="13" fillId="3" borderId="84" xfId="2" applyFont="1" applyFill="1" applyBorder="1" applyAlignment="1">
      <alignment horizontal="center" vertical="center"/>
    </xf>
    <xf numFmtId="0" fontId="9" fillId="0" borderId="81" xfId="0" applyFont="1" applyBorder="1"/>
    <xf numFmtId="0" fontId="9" fillId="0" borderId="76" xfId="0" applyFont="1" applyBorder="1"/>
    <xf numFmtId="0" fontId="13" fillId="0" borderId="0" xfId="2" applyFont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3" fillId="3" borderId="85" xfId="0" applyFont="1" applyFill="1" applyBorder="1" applyAlignment="1">
      <alignment horizontal="left" vertical="center"/>
    </xf>
    <xf numFmtId="0" fontId="13" fillId="3" borderId="65" xfId="2" applyFont="1" applyFill="1" applyBorder="1" applyAlignment="1">
      <alignment horizontal="center" vertical="center" wrapText="1"/>
    </xf>
    <xf numFmtId="0" fontId="13" fillId="3" borderId="83" xfId="2" applyFont="1" applyFill="1" applyBorder="1" applyAlignment="1">
      <alignment horizontal="center" vertical="center"/>
    </xf>
    <xf numFmtId="164" fontId="0" fillId="2" borderId="73" xfId="0" applyNumberFormat="1" applyFill="1" applyBorder="1" applyProtection="1">
      <protection locked="0"/>
    </xf>
    <xf numFmtId="0" fontId="0" fillId="0" borderId="89" xfId="0" applyBorder="1"/>
    <xf numFmtId="0" fontId="29" fillId="0" borderId="19" xfId="0" applyFont="1" applyBorder="1"/>
    <xf numFmtId="0" fontId="26" fillId="3" borderId="3" xfId="2" applyFont="1" applyFill="1" applyBorder="1" applyAlignment="1">
      <alignment horizontal="left"/>
    </xf>
    <xf numFmtId="1" fontId="21" fillId="0" borderId="113" xfId="2" applyNumberFormat="1" applyFont="1" applyBorder="1" applyAlignment="1">
      <alignment horizontal="left"/>
    </xf>
    <xf numFmtId="1" fontId="21" fillId="0" borderId="27" xfId="2" applyNumberFormat="1" applyFont="1" applyBorder="1" applyAlignment="1">
      <alignment horizontal="left"/>
    </xf>
    <xf numFmtId="11" fontId="31" fillId="0" borderId="27" xfId="2" applyNumberFormat="1" applyFont="1" applyBorder="1" applyAlignment="1">
      <alignment horizontal="left"/>
    </xf>
    <xf numFmtId="11" fontId="31" fillId="0" borderId="28" xfId="2" applyNumberFormat="1" applyFont="1" applyBorder="1" applyAlignment="1">
      <alignment horizontal="left"/>
    </xf>
    <xf numFmtId="164" fontId="9" fillId="2" borderId="30" xfId="0" applyNumberFormat="1" applyFont="1" applyFill="1" applyBorder="1" applyProtection="1">
      <protection locked="0"/>
    </xf>
    <xf numFmtId="3" fontId="0" fillId="0" borderId="33" xfId="0" applyNumberFormat="1" applyBorder="1"/>
    <xf numFmtId="3" fontId="20" fillId="0" borderId="69" xfId="0" applyNumberFormat="1" applyFont="1" applyBorder="1"/>
    <xf numFmtId="3" fontId="20" fillId="0" borderId="20" xfId="0" applyNumberFormat="1" applyFont="1" applyBorder="1"/>
    <xf numFmtId="3" fontId="20" fillId="0" borderId="12" xfId="2" applyNumberFormat="1" applyFont="1" applyBorder="1" applyAlignment="1">
      <alignment horizontal="right"/>
    </xf>
    <xf numFmtId="3" fontId="20" fillId="0" borderId="20" xfId="2" applyNumberFormat="1" applyFont="1" applyBorder="1" applyAlignment="1">
      <alignment horizontal="right"/>
    </xf>
    <xf numFmtId="173" fontId="20" fillId="0" borderId="20" xfId="2" applyNumberFormat="1" applyFont="1" applyBorder="1" applyAlignment="1">
      <alignment horizontal="right"/>
    </xf>
    <xf numFmtId="3" fontId="20" fillId="0" borderId="24" xfId="2" applyNumberFormat="1" applyFont="1" applyBorder="1" applyAlignment="1">
      <alignment horizontal="right"/>
    </xf>
    <xf numFmtId="3" fontId="20" fillId="0" borderId="75" xfId="0" applyNumberFormat="1" applyFont="1" applyBorder="1"/>
    <xf numFmtId="0" fontId="49" fillId="0" borderId="0" xfId="0" applyFont="1"/>
    <xf numFmtId="0" fontId="51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53" fillId="0" borderId="0" xfId="0" applyFont="1"/>
    <xf numFmtId="0" fontId="54" fillId="0" borderId="0" xfId="0" applyFont="1" applyAlignment="1">
      <alignment horizontal="left"/>
    </xf>
    <xf numFmtId="0" fontId="11" fillId="0" borderId="21" xfId="0" applyFont="1" applyBorder="1" applyAlignment="1">
      <alignment horizontal="left"/>
    </xf>
    <xf numFmtId="0" fontId="55" fillId="0" borderId="0" xfId="0" applyFont="1"/>
    <xf numFmtId="0" fontId="56" fillId="0" borderId="0" xfId="0" applyFont="1"/>
    <xf numFmtId="0" fontId="13" fillId="3" borderId="2" xfId="2" applyFont="1" applyFill="1" applyBorder="1" applyAlignment="1" applyProtection="1">
      <alignment horizontal="left"/>
      <protection locked="0"/>
    </xf>
    <xf numFmtId="3" fontId="0" fillId="2" borderId="0" xfId="0" applyNumberFormat="1" applyFill="1" applyProtection="1">
      <protection locked="0"/>
    </xf>
    <xf numFmtId="3" fontId="0" fillId="7" borderId="0" xfId="0" applyNumberFormat="1" applyFill="1" applyProtection="1">
      <protection locked="0"/>
    </xf>
    <xf numFmtId="166" fontId="0" fillId="2" borderId="25" xfId="0" applyNumberFormat="1" applyFill="1" applyBorder="1" applyProtection="1">
      <protection locked="0"/>
    </xf>
    <xf numFmtId="0" fontId="13" fillId="3" borderId="120" xfId="2" applyFont="1" applyFill="1" applyBorder="1" applyAlignment="1" applyProtection="1">
      <alignment horizontal="left"/>
      <protection locked="0"/>
    </xf>
    <xf numFmtId="164" fontId="0" fillId="7" borderId="20" xfId="0" applyNumberFormat="1" applyFill="1" applyBorder="1" applyProtection="1">
      <protection locked="0"/>
    </xf>
    <xf numFmtId="9" fontId="9" fillId="7" borderId="0" xfId="0" applyNumberFormat="1" applyFont="1" applyFill="1" applyProtection="1">
      <protection locked="0"/>
    </xf>
    <xf numFmtId="3" fontId="9" fillId="2" borderId="10" xfId="0" applyNumberFormat="1" applyFont="1" applyFill="1" applyBorder="1" applyProtection="1">
      <protection locked="0"/>
    </xf>
    <xf numFmtId="3" fontId="9" fillId="2" borderId="20" xfId="2" applyNumberFormat="1" applyFont="1" applyFill="1" applyBorder="1" applyAlignment="1" applyProtection="1">
      <alignment horizontal="right"/>
      <protection locked="0"/>
    </xf>
    <xf numFmtId="4" fontId="0" fillId="2" borderId="20" xfId="0" applyNumberFormat="1" applyFill="1" applyBorder="1" applyProtection="1">
      <protection locked="0"/>
    </xf>
    <xf numFmtId="164" fontId="0" fillId="2" borderId="50" xfId="0" applyNumberFormat="1" applyFill="1" applyBorder="1" applyProtection="1">
      <protection locked="0"/>
    </xf>
    <xf numFmtId="3" fontId="0" fillId="2" borderId="50" xfId="0" applyNumberFormat="1" applyFill="1" applyBorder="1" applyProtection="1">
      <protection locked="0"/>
    </xf>
    <xf numFmtId="169" fontId="0" fillId="2" borderId="20" xfId="1" applyNumberFormat="1" applyFont="1" applyFill="1" applyBorder="1" applyProtection="1">
      <protection locked="0"/>
    </xf>
    <xf numFmtId="169" fontId="0" fillId="7" borderId="50" xfId="0" applyNumberFormat="1" applyFill="1" applyBorder="1" applyProtection="1">
      <protection locked="0"/>
    </xf>
    <xf numFmtId="10" fontId="0" fillId="7" borderId="50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9" fontId="0" fillId="2" borderId="20" xfId="1" applyFont="1" applyFill="1" applyBorder="1" applyProtection="1">
      <protection locked="0"/>
    </xf>
    <xf numFmtId="2" fontId="9" fillId="2" borderId="20" xfId="1" applyNumberFormat="1" applyFont="1" applyFill="1" applyBorder="1" applyProtection="1">
      <protection locked="0"/>
    </xf>
    <xf numFmtId="168" fontId="0" fillId="2" borderId="99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7" borderId="20" xfId="0" applyNumberFormat="1" applyFill="1" applyBorder="1" applyProtection="1">
      <protection locked="0"/>
    </xf>
    <xf numFmtId="3" fontId="0" fillId="2" borderId="20" xfId="0" applyNumberFormat="1" applyFill="1" applyBorder="1" applyAlignment="1" applyProtection="1">
      <alignment horizontal="right"/>
      <protection locked="0"/>
    </xf>
    <xf numFmtId="9" fontId="0" fillId="2" borderId="20" xfId="0" applyNumberFormat="1" applyFill="1" applyBorder="1" applyProtection="1">
      <protection locked="0"/>
    </xf>
    <xf numFmtId="0" fontId="7" fillId="2" borderId="58" xfId="0" applyFont="1" applyFill="1" applyBorder="1" applyAlignment="1" applyProtection="1">
      <alignment horizontal="center"/>
      <protection locked="0"/>
    </xf>
    <xf numFmtId="0" fontId="7" fillId="2" borderId="48" xfId="0" applyFont="1" applyFill="1" applyBorder="1" applyAlignment="1" applyProtection="1">
      <alignment horizontal="center"/>
      <protection locked="0"/>
    </xf>
    <xf numFmtId="2" fontId="7" fillId="2" borderId="48" xfId="0" applyNumberFormat="1" applyFont="1" applyFill="1" applyBorder="1" applyAlignment="1" applyProtection="1">
      <alignment horizontal="center"/>
      <protection locked="0"/>
    </xf>
    <xf numFmtId="0" fontId="9" fillId="2" borderId="53" xfId="0" applyFont="1" applyFill="1" applyBorder="1" applyAlignment="1" applyProtection="1">
      <alignment horizontal="center"/>
      <protection locked="0"/>
    </xf>
    <xf numFmtId="4" fontId="9" fillId="2" borderId="21" xfId="0" applyNumberFormat="1" applyFont="1" applyFill="1" applyBorder="1" applyAlignment="1" applyProtection="1">
      <alignment horizontal="center"/>
      <protection locked="0"/>
    </xf>
    <xf numFmtId="4" fontId="9" fillId="2" borderId="13" xfId="0" applyNumberFormat="1" applyFont="1" applyFill="1" applyBorder="1" applyAlignment="1" applyProtection="1">
      <alignment horizontal="center"/>
      <protection locked="0"/>
    </xf>
    <xf numFmtId="4" fontId="9" fillId="2" borderId="11" xfId="0" applyNumberFormat="1" applyFont="1" applyFill="1" applyBorder="1" applyAlignment="1" applyProtection="1">
      <alignment horizontal="center"/>
      <protection locked="0"/>
    </xf>
    <xf numFmtId="4" fontId="9" fillId="2" borderId="131" xfId="0" applyNumberFormat="1" applyFont="1" applyFill="1" applyBorder="1" applyAlignment="1" applyProtection="1">
      <alignment horizontal="center"/>
      <protection locked="0"/>
    </xf>
    <xf numFmtId="4" fontId="9" fillId="2" borderId="130" xfId="0" applyNumberFormat="1" applyFont="1" applyFill="1" applyBorder="1" applyAlignment="1" applyProtection="1">
      <alignment horizontal="center"/>
      <protection locked="0"/>
    </xf>
    <xf numFmtId="4" fontId="9" fillId="2" borderId="101" xfId="0" applyNumberFormat="1" applyFont="1" applyFill="1" applyBorder="1" applyAlignment="1" applyProtection="1">
      <alignment horizontal="center"/>
      <protection locked="0"/>
    </xf>
    <xf numFmtId="4" fontId="9" fillId="2" borderId="27" xfId="0" applyNumberFormat="1" applyFont="1" applyFill="1" applyBorder="1" applyAlignment="1" applyProtection="1">
      <alignment horizontal="center"/>
      <protection locked="0"/>
    </xf>
    <xf numFmtId="4" fontId="9" fillId="2" borderId="32" xfId="0" applyNumberFormat="1" applyFont="1" applyFill="1" applyBorder="1" applyAlignment="1" applyProtection="1">
      <alignment horizontal="center"/>
      <protection locked="0"/>
    </xf>
    <xf numFmtId="4" fontId="9" fillId="2" borderId="28" xfId="0" applyNumberFormat="1" applyFont="1" applyFill="1" applyBorder="1" applyAlignment="1" applyProtection="1">
      <alignment horizontal="center"/>
      <protection locked="0"/>
    </xf>
    <xf numFmtId="0" fontId="3" fillId="6" borderId="96" xfId="0" applyFont="1" applyFill="1" applyBorder="1" applyAlignment="1">
      <alignment horizontal="center" vertical="center"/>
    </xf>
    <xf numFmtId="0" fontId="3" fillId="6" borderId="112" xfId="0" applyFont="1" applyFill="1" applyBorder="1" applyAlignment="1">
      <alignment horizontal="center" vertical="center"/>
    </xf>
    <xf numFmtId="0" fontId="3" fillId="6" borderId="96" xfId="0" applyFont="1" applyFill="1" applyBorder="1" applyAlignment="1">
      <alignment horizontal="center"/>
    </xf>
    <xf numFmtId="0" fontId="3" fillId="6" borderId="123" xfId="0" applyFont="1" applyFill="1" applyBorder="1" applyAlignment="1">
      <alignment horizontal="center"/>
    </xf>
    <xf numFmtId="0" fontId="0" fillId="0" borderId="4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124" xfId="0" applyBorder="1" applyAlignment="1">
      <alignment vertical="center"/>
    </xf>
    <xf numFmtId="0" fontId="2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14" xfId="2" applyFont="1" applyBorder="1" applyAlignment="1">
      <alignment horizontal="left" vertical="center"/>
    </xf>
    <xf numFmtId="0" fontId="9" fillId="0" borderId="107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114" xfId="0" applyBorder="1" applyAlignment="1">
      <alignment horizontal="left" vertical="center"/>
    </xf>
  </cellXfs>
  <cellStyles count="3">
    <cellStyle name="Excel Built-in Normal" xfId="2" xr:uid="{8A5A0697-2B21-480F-87A1-505602571967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148167</xdr:colOff>
      <xdr:row>14</xdr:row>
      <xdr:rowOff>169332</xdr:rowOff>
    </xdr:from>
    <xdr:to>
      <xdr:col>3</xdr:col>
      <xdr:colOff>560917</xdr:colOff>
      <xdr:row>44</xdr:row>
      <xdr:rowOff>172320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E619BC-98AE-49AF-A540-E884E0571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67" y="9048749"/>
          <a:ext cx="7000875" cy="5400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371930</xdr:colOff>
      <xdr:row>174</xdr:row>
      <xdr:rowOff>72571</xdr:rowOff>
    </xdr:from>
    <xdr:to>
      <xdr:col>3</xdr:col>
      <xdr:colOff>1072978</xdr:colOff>
      <xdr:row>194</xdr:row>
      <xdr:rowOff>136072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DD848E-A8A9-3B98-951F-EBA8EDE2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930" y="33845500"/>
          <a:ext cx="7586262" cy="36920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mentogobes-my.sharepoint.com/PROYECTO%20GU&#205;A/PRODUCTOS%20FCAS/00%20-%20Bases%20de%20partida_protegid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COOPERACI&#211;N\Herramientas%20t&#233;cnicas\Excel%20de%20dise&#241;o%20procesos\3%20-%20Versiones%20definitivas%20a%20revisar%20y%20revisiones\Revisi&#243;n%20Nacho%20pretratamientos\Copia%20de%20230301_Versi&#243;n%20completa%20procesos_IR-AT.xlsx" TargetMode="External"/><Relationship Id="rId1" Type="http://schemas.openxmlformats.org/officeDocument/2006/relationships/externalLinkPath" Target="file:///Y:\COOPERACI&#211;N\Herramientas%20t&#233;cnicas\Excel%20de%20dise&#241;o%20procesos\3%20-%20Versiones%20definitivas%20a%20revisar%20y%20revisiones\Revisi&#243;n%20Nacho%20pretratamientos\Copia%20de%20230301_Versi&#243;n%20completa%20procesos_IR-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 - BP"/>
      <sheetName val="Hoja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 - LÉEME"/>
      <sheetName val="0 - BP"/>
      <sheetName val="Hoja3"/>
      <sheetName val="2.0 - ALIV"/>
      <sheetName val="2.0 - PGm"/>
      <sheetName val="2.0 - DESBm"/>
      <sheetName val="Hoja1"/>
      <sheetName val="2.0 - DESBa"/>
      <sheetName val="2.0 - DESARm"/>
      <sheetName val="Hoja2"/>
      <sheetName val="2.0 - DD"/>
      <sheetName val="2.0 - TG"/>
      <sheetName val="2.0 - PARSH"/>
      <sheetName val="2.1 - RAFA"/>
      <sheetName val="2.2 - FP+DEC2e"/>
      <sheetName val="2.2 - FP+DEC2d"/>
      <sheetName val="2.2 - AE+DEC2e"/>
      <sheetName val="2.2 - AE+DEC2d"/>
      <sheetName val="2.4 - ESPGe"/>
      <sheetName val="2.4 - ESPGd"/>
      <sheetName val="2.4 - LSC"/>
      <sheetName val="2.4 - LSD"/>
      <sheetName val="PRECIOS OC (REF)"/>
      <sheetName val="PRECIOS EEM (REF)"/>
    </sheetNames>
    <sheetDataSet>
      <sheetData sheetId="0"/>
      <sheetData sheetId="1">
        <row r="24">
          <cell r="A24" t="str">
            <v>1- Tierra bajo nivel freático, llano</v>
          </cell>
        </row>
        <row r="25">
          <cell r="A25" t="str">
            <v>2- Tierra bajo nivel freático, pendiente suave</v>
          </cell>
        </row>
        <row r="26">
          <cell r="A26" t="str">
            <v>3- Tierra bajo nivel freático, pendiente fuerte</v>
          </cell>
        </row>
        <row r="27">
          <cell r="A27" t="str">
            <v>4- Roca bajo nivel freático, llano</v>
          </cell>
        </row>
        <row r="28">
          <cell r="A28" t="str">
            <v xml:space="preserve">5- Roca bajo nivel freático, pendiente suave </v>
          </cell>
        </row>
        <row r="29">
          <cell r="A29" t="str">
            <v xml:space="preserve">6- Roca bajo nivel freático, pendiente fuerte </v>
          </cell>
        </row>
        <row r="30">
          <cell r="A30" t="str">
            <v>7- Tierra alto nivel freático, llano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2C1E-4DF3-41C7-9019-C77CB52D8C82}">
  <dimension ref="A1:B14"/>
  <sheetViews>
    <sheetView showGridLines="0" tabSelected="1" zoomScaleNormal="100" workbookViewId="0">
      <selection activeCell="D24" sqref="D24"/>
    </sheetView>
  </sheetViews>
  <sheetFormatPr baseColWidth="10" defaultColWidth="11.42578125" defaultRowHeight="15" x14ac:dyDescent="0.25"/>
  <cols>
    <col min="1" max="1" width="61.7109375" customWidth="1"/>
    <col min="2" max="2" width="21.5703125" customWidth="1"/>
    <col min="4" max="4" width="44.28515625" customWidth="1"/>
  </cols>
  <sheetData>
    <row r="1" spans="1:2" ht="18.75" x14ac:dyDescent="0.3">
      <c r="A1" s="1" t="s">
        <v>0</v>
      </c>
    </row>
    <row r="2" spans="1:2" x14ac:dyDescent="0.25">
      <c r="A2" s="2" t="s">
        <v>1</v>
      </c>
    </row>
    <row r="3" spans="1:2" x14ac:dyDescent="0.25">
      <c r="A3" s="195" t="s">
        <v>2</v>
      </c>
      <c r="B3" s="3" t="s">
        <v>3</v>
      </c>
    </row>
    <row r="4" spans="1:2" x14ac:dyDescent="0.25">
      <c r="A4" s="196" t="s">
        <v>4</v>
      </c>
      <c r="B4" s="4" t="s">
        <v>5</v>
      </c>
    </row>
    <row r="5" spans="1:2" x14ac:dyDescent="0.25">
      <c r="A5" s="197" t="s">
        <v>6</v>
      </c>
      <c r="B5" s="3" t="s">
        <v>7</v>
      </c>
    </row>
    <row r="6" spans="1:2" x14ac:dyDescent="0.25">
      <c r="A6" s="198" t="s">
        <v>8</v>
      </c>
      <c r="B6" s="4" t="s">
        <v>9</v>
      </c>
    </row>
    <row r="7" spans="1:2" x14ac:dyDescent="0.25">
      <c r="A7" s="199" t="s">
        <v>10</v>
      </c>
      <c r="B7" s="4" t="s">
        <v>11</v>
      </c>
    </row>
    <row r="8" spans="1:2" x14ac:dyDescent="0.25">
      <c r="A8" s="2" t="s">
        <v>12</v>
      </c>
    </row>
    <row r="9" spans="1:2" x14ac:dyDescent="0.25">
      <c r="A9" s="193"/>
      <c r="B9" t="s">
        <v>13</v>
      </c>
    </row>
    <row r="10" spans="1:2" x14ac:dyDescent="0.25">
      <c r="A10" s="194" t="s">
        <v>4</v>
      </c>
      <c r="B10" t="s">
        <v>14</v>
      </c>
    </row>
    <row r="11" spans="1:2" x14ac:dyDescent="0.25">
      <c r="A11" s="273" t="s">
        <v>6</v>
      </c>
      <c r="B11" t="s">
        <v>15</v>
      </c>
    </row>
    <row r="14" spans="1:2" ht="18.75" x14ac:dyDescent="0.3">
      <c r="A14" s="1" t="s">
        <v>464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0D239-63D1-4CB6-89FC-F7EA42D560AB}">
  <dimension ref="A1:G64"/>
  <sheetViews>
    <sheetView showGridLines="0" zoomScaleNormal="100" workbookViewId="0">
      <selection activeCell="D39" sqref="D39"/>
    </sheetView>
  </sheetViews>
  <sheetFormatPr baseColWidth="10" defaultColWidth="11.42578125" defaultRowHeight="15" x14ac:dyDescent="0.25"/>
  <cols>
    <col min="1" max="1" width="48.140625" customWidth="1"/>
    <col min="2" max="2" width="41.140625" customWidth="1"/>
    <col min="4" max="4" width="37.7109375" customWidth="1"/>
    <col min="5" max="5" width="20.140625" customWidth="1"/>
  </cols>
  <sheetData>
    <row r="1" spans="1:7" ht="16.5" thickBot="1" x14ac:dyDescent="0.3">
      <c r="A1" s="29" t="s">
        <v>16</v>
      </c>
      <c r="B1" s="60" t="s">
        <v>17</v>
      </c>
      <c r="C1" s="60" t="s">
        <v>18</v>
      </c>
      <c r="D1" s="8" t="s">
        <v>19</v>
      </c>
      <c r="E1" s="66" t="s">
        <v>20</v>
      </c>
    </row>
    <row r="2" spans="1:7" x14ac:dyDescent="0.25">
      <c r="A2" s="100" t="s">
        <v>21</v>
      </c>
      <c r="B2" s="101">
        <v>5000</v>
      </c>
      <c r="C2" s="102" t="s">
        <v>22</v>
      </c>
      <c r="D2" s="99"/>
      <c r="E2" s="92"/>
    </row>
    <row r="3" spans="1:7" x14ac:dyDescent="0.25">
      <c r="A3" s="74" t="s">
        <v>23</v>
      </c>
      <c r="B3" s="77">
        <v>19</v>
      </c>
      <c r="C3" s="18" t="s">
        <v>24</v>
      </c>
      <c r="D3" s="138"/>
      <c r="E3" s="83"/>
    </row>
    <row r="4" spans="1:7" x14ac:dyDescent="0.25">
      <c r="A4" s="74" t="s">
        <v>25</v>
      </c>
      <c r="B4" s="77">
        <v>28</v>
      </c>
      <c r="C4" s="15" t="s">
        <v>24</v>
      </c>
      <c r="D4" s="138"/>
      <c r="E4" s="83"/>
      <c r="F4" s="188"/>
      <c r="G4" s="19"/>
    </row>
    <row r="5" spans="1:7" ht="15.75" thickBot="1" x14ac:dyDescent="0.3">
      <c r="A5" s="74" t="s">
        <v>26</v>
      </c>
      <c r="B5" s="14">
        <v>0</v>
      </c>
      <c r="C5" s="15" t="s">
        <v>27</v>
      </c>
      <c r="E5" s="83"/>
      <c r="G5" s="19"/>
    </row>
    <row r="6" spans="1:7" ht="16.5" thickBot="1" x14ac:dyDescent="0.3">
      <c r="A6" s="6" t="s">
        <v>28</v>
      </c>
      <c r="B6" s="343" t="s">
        <v>17</v>
      </c>
      <c r="C6" s="7" t="s">
        <v>18</v>
      </c>
      <c r="D6" s="8" t="s">
        <v>19</v>
      </c>
      <c r="E6" s="9" t="s">
        <v>20</v>
      </c>
    </row>
    <row r="7" spans="1:7" ht="17.25" x14ac:dyDescent="0.25">
      <c r="A7" s="30" t="s">
        <v>29</v>
      </c>
      <c r="B7" s="344">
        <v>11.000000000000002</v>
      </c>
      <c r="C7" s="15" t="s">
        <v>30</v>
      </c>
      <c r="D7" s="137"/>
      <c r="E7" s="16"/>
    </row>
    <row r="8" spans="1:7" ht="17.25" x14ac:dyDescent="0.25">
      <c r="A8" s="30" t="s">
        <v>31</v>
      </c>
      <c r="B8" s="345">
        <v>880.00000000000011</v>
      </c>
      <c r="C8" s="15" t="s">
        <v>32</v>
      </c>
      <c r="D8" s="137"/>
      <c r="E8" s="16"/>
    </row>
    <row r="9" spans="1:7" ht="17.25" x14ac:dyDescent="0.25">
      <c r="A9" s="30" t="s">
        <v>33</v>
      </c>
      <c r="B9" s="345">
        <v>118.98349438334316</v>
      </c>
      <c r="C9" s="15" t="s">
        <v>30</v>
      </c>
      <c r="D9" s="137" t="s">
        <v>34</v>
      </c>
      <c r="E9" s="16"/>
    </row>
    <row r="10" spans="1:7" ht="18" thickBot="1" x14ac:dyDescent="0.3">
      <c r="A10" s="30" t="s">
        <v>35</v>
      </c>
      <c r="B10" s="345">
        <v>237.96698876668631</v>
      </c>
      <c r="C10" s="15" t="s">
        <v>30</v>
      </c>
      <c r="D10" s="137" t="s">
        <v>36</v>
      </c>
      <c r="E10" s="16"/>
    </row>
    <row r="11" spans="1:7" ht="16.5" thickBot="1" x14ac:dyDescent="0.3">
      <c r="A11" s="6" t="s">
        <v>37</v>
      </c>
      <c r="B11" s="343" t="s">
        <v>17</v>
      </c>
      <c r="C11" s="7" t="s">
        <v>18</v>
      </c>
      <c r="D11" s="8" t="s">
        <v>19</v>
      </c>
      <c r="E11" s="9" t="s">
        <v>20</v>
      </c>
    </row>
    <row r="12" spans="1:7" ht="18" x14ac:dyDescent="0.35">
      <c r="A12" s="144" t="s">
        <v>38</v>
      </c>
      <c r="B12" s="345">
        <v>297.08848069345572</v>
      </c>
      <c r="C12" s="15" t="s">
        <v>39</v>
      </c>
      <c r="E12" s="16"/>
    </row>
    <row r="13" spans="1:7" x14ac:dyDescent="0.25">
      <c r="A13" s="144" t="s">
        <v>40</v>
      </c>
      <c r="B13" s="345">
        <v>505.05041717887468</v>
      </c>
      <c r="C13" s="15" t="s">
        <v>39</v>
      </c>
      <c r="E13" s="16"/>
    </row>
    <row r="14" spans="1:7" x14ac:dyDescent="0.25">
      <c r="A14" s="144" t="s">
        <v>41</v>
      </c>
      <c r="B14" s="345">
        <v>297.08848069345572</v>
      </c>
      <c r="C14" s="15" t="s">
        <v>39</v>
      </c>
      <c r="E14" s="16"/>
    </row>
    <row r="15" spans="1:7" x14ac:dyDescent="0.25">
      <c r="A15" s="144" t="s">
        <v>42</v>
      </c>
      <c r="B15" s="345">
        <v>59.417696138691142</v>
      </c>
      <c r="C15" s="15" t="s">
        <v>39</v>
      </c>
      <c r="E15" s="16"/>
    </row>
    <row r="16" spans="1:7" x14ac:dyDescent="0.25">
      <c r="A16" s="144" t="s">
        <v>43</v>
      </c>
      <c r="B16" s="345">
        <v>9.0026812331350214</v>
      </c>
      <c r="C16" s="15" t="s">
        <v>39</v>
      </c>
      <c r="E16" s="16"/>
    </row>
    <row r="17" spans="1:5" x14ac:dyDescent="0.25">
      <c r="A17" s="145" t="s">
        <v>44</v>
      </c>
      <c r="B17" s="346">
        <v>10000000</v>
      </c>
      <c r="C17" s="21" t="s">
        <v>45</v>
      </c>
      <c r="D17" s="22"/>
      <c r="E17" s="23"/>
    </row>
    <row r="18" spans="1:5" ht="15.75" x14ac:dyDescent="0.25">
      <c r="A18" s="6" t="s">
        <v>46</v>
      </c>
      <c r="B18" s="343" t="s">
        <v>17</v>
      </c>
      <c r="C18" s="7" t="s">
        <v>18</v>
      </c>
      <c r="D18" s="8" t="s">
        <v>19</v>
      </c>
      <c r="E18" s="9" t="s">
        <v>20</v>
      </c>
    </row>
    <row r="19" spans="1:5" ht="18" x14ac:dyDescent="0.35">
      <c r="A19" s="144" t="s">
        <v>38</v>
      </c>
      <c r="B19" s="345">
        <v>25</v>
      </c>
      <c r="C19" s="15" t="s">
        <v>39</v>
      </c>
      <c r="E19" s="16"/>
    </row>
    <row r="20" spans="1:5" x14ac:dyDescent="0.25">
      <c r="A20" s="144" t="s">
        <v>40</v>
      </c>
      <c r="B20" s="345">
        <v>80</v>
      </c>
      <c r="C20" s="15" t="s">
        <v>39</v>
      </c>
      <c r="E20" s="16"/>
    </row>
    <row r="21" spans="1:5" x14ac:dyDescent="0.25">
      <c r="A21" s="144" t="s">
        <v>41</v>
      </c>
      <c r="B21" s="345">
        <v>25</v>
      </c>
      <c r="C21" s="15" t="s">
        <v>39</v>
      </c>
      <c r="E21" s="16"/>
    </row>
    <row r="22" spans="1:5" x14ac:dyDescent="0.25">
      <c r="A22" s="144" t="s">
        <v>42</v>
      </c>
      <c r="B22" s="345">
        <v>15</v>
      </c>
      <c r="C22" s="15" t="s">
        <v>39</v>
      </c>
      <c r="E22" s="16"/>
    </row>
    <row r="23" spans="1:5" x14ac:dyDescent="0.25">
      <c r="A23" s="144" t="s">
        <v>43</v>
      </c>
      <c r="B23" s="345">
        <v>4</v>
      </c>
      <c r="C23" s="15" t="s">
        <v>39</v>
      </c>
      <c r="E23" s="16"/>
    </row>
    <row r="24" spans="1:5" ht="15.75" thickBot="1" x14ac:dyDescent="0.3">
      <c r="A24" s="145" t="s">
        <v>44</v>
      </c>
      <c r="B24" s="346">
        <v>10000</v>
      </c>
      <c r="C24" s="21" t="s">
        <v>45</v>
      </c>
      <c r="D24" s="22"/>
      <c r="E24" s="23"/>
    </row>
    <row r="25" spans="1:5" ht="16.5" thickBot="1" x14ac:dyDescent="0.3">
      <c r="A25" s="190" t="s">
        <v>47</v>
      </c>
      <c r="B25" s="347" t="s">
        <v>17</v>
      </c>
      <c r="C25" s="268" t="s">
        <v>18</v>
      </c>
      <c r="D25" s="8" t="s">
        <v>19</v>
      </c>
      <c r="E25" s="269" t="s">
        <v>20</v>
      </c>
    </row>
    <row r="26" spans="1:5" x14ac:dyDescent="0.25">
      <c r="A26" s="13" t="s">
        <v>48</v>
      </c>
      <c r="B26" s="318">
        <v>2</v>
      </c>
      <c r="C26" s="94" t="s">
        <v>49</v>
      </c>
      <c r="D26" s="319"/>
      <c r="E26" s="27"/>
    </row>
    <row r="27" spans="1:5" x14ac:dyDescent="0.25">
      <c r="A27" s="238" t="s">
        <v>50</v>
      </c>
      <c r="B27" s="326" t="s">
        <v>453</v>
      </c>
      <c r="C27" s="45"/>
      <c r="D27" s="45"/>
      <c r="E27" s="16"/>
    </row>
    <row r="28" spans="1:5" x14ac:dyDescent="0.25">
      <c r="A28" s="13" t="s">
        <v>51</v>
      </c>
      <c r="B28" s="62">
        <f>IF(OR(B27=$A$58,B27=$A$59,B27=$A$60,B27=$A$64),1,2)</f>
        <v>1</v>
      </c>
      <c r="C28" s="45"/>
      <c r="D28" s="26" t="s">
        <v>52</v>
      </c>
      <c r="E28" s="27"/>
    </row>
    <row r="29" spans="1:5" x14ac:dyDescent="0.25">
      <c r="A29" s="13" t="s">
        <v>53</v>
      </c>
      <c r="B29" s="62" cm="1">
        <f t="array" ref="B29">_xlfn.IFS(B27=$A$58,1,B27=$A$61,1,B27=$A$64,1,B27=$A$59,2,B27=$A$62,2,B27=$A$60,3,B27=$A$63,3)</f>
        <v>1</v>
      </c>
      <c r="C29" s="45"/>
      <c r="D29" s="15" t="s">
        <v>54</v>
      </c>
      <c r="E29" s="27"/>
    </row>
    <row r="30" spans="1:5" ht="15.75" thickBot="1" x14ac:dyDescent="0.3">
      <c r="A30" s="20" t="s">
        <v>55</v>
      </c>
      <c r="B30" s="327">
        <f>IF(B27=$A$64,2,1)</f>
        <v>1</v>
      </c>
      <c r="C30" s="52"/>
      <c r="D30" s="21" t="s">
        <v>56</v>
      </c>
      <c r="E30" s="28"/>
    </row>
    <row r="31" spans="1:5" hidden="1" x14ac:dyDescent="0.25">
      <c r="A31" s="19" t="s">
        <v>57</v>
      </c>
    </row>
    <row r="32" spans="1:5" hidden="1" x14ac:dyDescent="0.25">
      <c r="A32" s="19" t="s">
        <v>58</v>
      </c>
    </row>
    <row r="33" spans="1:1" hidden="1" x14ac:dyDescent="0.25">
      <c r="A33" s="19" t="s">
        <v>59</v>
      </c>
    </row>
    <row r="34" spans="1:1" hidden="1" x14ac:dyDescent="0.25">
      <c r="A34" s="19" t="s">
        <v>60</v>
      </c>
    </row>
    <row r="35" spans="1:1" hidden="1" x14ac:dyDescent="0.25">
      <c r="A35" s="19" t="s">
        <v>61</v>
      </c>
    </row>
    <row r="36" spans="1:1" hidden="1" x14ac:dyDescent="0.25">
      <c r="A36" s="19" t="s">
        <v>62</v>
      </c>
    </row>
    <row r="57" spans="1:1" hidden="1" x14ac:dyDescent="0.25">
      <c r="A57" s="2" t="s">
        <v>452</v>
      </c>
    </row>
    <row r="58" spans="1:1" hidden="1" x14ac:dyDescent="0.25">
      <c r="A58" s="19" t="s">
        <v>453</v>
      </c>
    </row>
    <row r="59" spans="1:1" hidden="1" x14ac:dyDescent="0.25">
      <c r="A59" s="19" t="s">
        <v>454</v>
      </c>
    </row>
    <row r="60" spans="1:1" hidden="1" x14ac:dyDescent="0.25">
      <c r="A60" s="19" t="s">
        <v>455</v>
      </c>
    </row>
    <row r="61" spans="1:1" hidden="1" x14ac:dyDescent="0.25">
      <c r="A61" s="19" t="s">
        <v>456</v>
      </c>
    </row>
    <row r="62" spans="1:1" hidden="1" x14ac:dyDescent="0.25">
      <c r="A62" s="19" t="s">
        <v>457</v>
      </c>
    </row>
    <row r="63" spans="1:1" hidden="1" x14ac:dyDescent="0.25">
      <c r="A63" s="19" t="s">
        <v>458</v>
      </c>
    </row>
    <row r="64" spans="1:1" hidden="1" x14ac:dyDescent="0.25">
      <c r="A64" s="19" t="s">
        <v>459</v>
      </c>
    </row>
  </sheetData>
  <sheetProtection sheet="1" objects="1" scenarios="1"/>
  <dataValidations count="1">
    <dataValidation type="list" allowBlank="1" showInputMessage="1" showErrorMessage="1" sqref="B27" xr:uid="{4433E268-2E83-4283-B727-0C32C3940523}">
      <formula1>$A$58:$A$64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A2CB8-C6DC-41BC-9E66-23594EBB3555}">
  <dimension ref="A1:AP174"/>
  <sheetViews>
    <sheetView showGridLines="0" zoomScaleNormal="100" workbookViewId="0">
      <selection activeCell="B13" sqref="B13"/>
    </sheetView>
  </sheetViews>
  <sheetFormatPr baseColWidth="10" defaultColWidth="11.42578125" defaultRowHeight="15" x14ac:dyDescent="0.25"/>
  <cols>
    <col min="1" max="1" width="55.140625" customWidth="1"/>
    <col min="2" max="2" width="20.5703125" customWidth="1"/>
    <col min="3" max="3" width="22.85546875" customWidth="1"/>
    <col min="4" max="4" width="59" customWidth="1"/>
    <col min="5" max="5" width="41.7109375" customWidth="1"/>
    <col min="6" max="6" width="15.42578125" customWidth="1"/>
    <col min="7" max="7" width="24.5703125" customWidth="1"/>
    <col min="8" max="9" width="15" customWidth="1"/>
    <col min="10" max="17" width="9.85546875" customWidth="1"/>
  </cols>
  <sheetData>
    <row r="1" spans="1:42" ht="16.5" thickBot="1" x14ac:dyDescent="0.3">
      <c r="A1" s="6" t="s">
        <v>103</v>
      </c>
      <c r="B1" s="7" t="s">
        <v>17</v>
      </c>
      <c r="C1" s="321" t="s">
        <v>18</v>
      </c>
      <c r="G1" s="34"/>
      <c r="H1" s="35"/>
    </row>
    <row r="2" spans="1:42" ht="17.25" x14ac:dyDescent="0.25">
      <c r="A2" s="30" t="s">
        <v>31</v>
      </c>
      <c r="B2" s="328">
        <f>'0 - BASESP'!B8</f>
        <v>880.00000000000011</v>
      </c>
      <c r="C2" s="113" t="s">
        <v>32</v>
      </c>
      <c r="G2" s="34"/>
      <c r="H2" s="35"/>
      <c r="AP2" t="s">
        <v>63</v>
      </c>
    </row>
    <row r="3" spans="1:42" ht="17.25" x14ac:dyDescent="0.25">
      <c r="A3" s="30"/>
      <c r="B3" s="183">
        <f>+B2/24</f>
        <v>36.666666666666671</v>
      </c>
      <c r="C3" s="113" t="s">
        <v>30</v>
      </c>
      <c r="G3" s="34"/>
      <c r="H3" s="35"/>
      <c r="AP3" t="s">
        <v>104</v>
      </c>
    </row>
    <row r="4" spans="1:42" ht="17.25" x14ac:dyDescent="0.25">
      <c r="A4" s="30" t="s">
        <v>33</v>
      </c>
      <c r="B4" s="329">
        <f>'0 - BASESP'!B9</f>
        <v>118.98349438334316</v>
      </c>
      <c r="C4" s="16" t="s">
        <v>30</v>
      </c>
      <c r="G4" s="34"/>
      <c r="H4" s="35"/>
    </row>
    <row r="5" spans="1:42" x14ac:dyDescent="0.25">
      <c r="A5" s="30" t="s">
        <v>135</v>
      </c>
      <c r="B5" s="348">
        <v>1.5</v>
      </c>
      <c r="C5" s="113"/>
    </row>
    <row r="6" spans="1:42" ht="17.25" x14ac:dyDescent="0.25">
      <c r="A6" s="30" t="s">
        <v>136</v>
      </c>
      <c r="B6" s="17">
        <f>+B2*B5</f>
        <v>1320.0000000000002</v>
      </c>
      <c r="C6" s="113" t="s">
        <v>32</v>
      </c>
      <c r="AP6" t="s">
        <v>65</v>
      </c>
    </row>
    <row r="7" spans="1:42" x14ac:dyDescent="0.25">
      <c r="A7" s="30" t="s">
        <v>137</v>
      </c>
      <c r="B7" s="349">
        <v>0.9</v>
      </c>
      <c r="C7" s="113"/>
      <c r="G7" s="34"/>
      <c r="H7" s="35"/>
    </row>
    <row r="8" spans="1:42" ht="17.25" x14ac:dyDescent="0.25">
      <c r="A8" s="30" t="s">
        <v>138</v>
      </c>
      <c r="B8" s="17">
        <f>B4*B7</f>
        <v>107.08514494500885</v>
      </c>
      <c r="C8" s="113" t="s">
        <v>30</v>
      </c>
      <c r="G8" s="34"/>
      <c r="H8" s="35"/>
    </row>
    <row r="9" spans="1:42" x14ac:dyDescent="0.25">
      <c r="A9" s="30" t="s">
        <v>139</v>
      </c>
      <c r="B9" s="349">
        <v>0.7</v>
      </c>
      <c r="C9" s="113"/>
    </row>
    <row r="10" spans="1:42" ht="17.25" x14ac:dyDescent="0.25">
      <c r="A10" s="30" t="s">
        <v>140</v>
      </c>
      <c r="B10" s="17">
        <f>B4*B9</f>
        <v>83.288446068340207</v>
      </c>
      <c r="C10" s="113" t="s">
        <v>30</v>
      </c>
      <c r="AP10" t="s">
        <v>64</v>
      </c>
    </row>
    <row r="11" spans="1:42" ht="18" x14ac:dyDescent="0.35">
      <c r="A11" s="245" t="s">
        <v>141</v>
      </c>
      <c r="B11" s="330">
        <f>'0 - BASESP'!B12</f>
        <v>297.08848069345572</v>
      </c>
      <c r="C11" s="322" t="s">
        <v>39</v>
      </c>
    </row>
    <row r="12" spans="1:42" ht="18" x14ac:dyDescent="0.35">
      <c r="A12" s="246" t="s">
        <v>142</v>
      </c>
      <c r="B12" s="331">
        <f>'0 - BASESP'!B13</f>
        <v>505.05041717887468</v>
      </c>
      <c r="C12" s="323" t="s">
        <v>39</v>
      </c>
    </row>
    <row r="13" spans="1:42" x14ac:dyDescent="0.25">
      <c r="A13" s="238" t="s">
        <v>143</v>
      </c>
      <c r="B13" s="40">
        <f>B2*B12/1000</f>
        <v>444.4443671174098</v>
      </c>
      <c r="C13" s="16" t="s">
        <v>144</v>
      </c>
      <c r="F13" s="5"/>
    </row>
    <row r="14" spans="1:42" ht="18" x14ac:dyDescent="0.35">
      <c r="A14" s="246" t="s">
        <v>145</v>
      </c>
      <c r="B14" s="331">
        <f>'0 - BASESP'!B14</f>
        <v>297.08848069345572</v>
      </c>
      <c r="C14" s="323" t="s">
        <v>39</v>
      </c>
    </row>
    <row r="15" spans="1:42" ht="18" x14ac:dyDescent="0.35">
      <c r="A15" s="246" t="s">
        <v>146</v>
      </c>
      <c r="B15" s="331">
        <f>'0 - BASESP'!B15</f>
        <v>59.417696138691142</v>
      </c>
      <c r="C15" s="323" t="s">
        <v>39</v>
      </c>
    </row>
    <row r="16" spans="1:42" ht="18" x14ac:dyDescent="0.35">
      <c r="A16" s="246" t="s">
        <v>147</v>
      </c>
      <c r="B16" s="331">
        <f>'0 - BASESP'!B16</f>
        <v>9.0026812331350214</v>
      </c>
      <c r="C16" s="323" t="s">
        <v>39</v>
      </c>
    </row>
    <row r="17" spans="1:15" ht="18" x14ac:dyDescent="0.35">
      <c r="A17" s="247" t="s">
        <v>148</v>
      </c>
      <c r="B17" s="332">
        <f>'0 - BASESP'!B17</f>
        <v>10000000</v>
      </c>
      <c r="C17" s="324" t="s">
        <v>149</v>
      </c>
    </row>
    <row r="18" spans="1:15" x14ac:dyDescent="0.25">
      <c r="A18" s="248" t="s">
        <v>150</v>
      </c>
      <c r="B18" s="350">
        <v>5</v>
      </c>
      <c r="C18" s="16" t="s">
        <v>151</v>
      </c>
    </row>
    <row r="19" spans="1:15" x14ac:dyDescent="0.25">
      <c r="A19" s="147" t="s">
        <v>152</v>
      </c>
      <c r="B19" s="351">
        <v>15</v>
      </c>
      <c r="C19" s="322" t="s">
        <v>24</v>
      </c>
    </row>
    <row r="20" spans="1:15" ht="15.75" thickBot="1" x14ac:dyDescent="0.3">
      <c r="A20" s="20" t="s">
        <v>23</v>
      </c>
      <c r="B20" s="333">
        <f>'0 - BASESP'!B3</f>
        <v>19</v>
      </c>
      <c r="C20" s="325" t="s">
        <v>24</v>
      </c>
    </row>
    <row r="21" spans="1:15" ht="15.75" customHeight="1" thickBot="1" x14ac:dyDescent="0.3">
      <c r="A21" s="74"/>
      <c r="B21" s="251"/>
      <c r="C21" s="250"/>
      <c r="D21" s="302"/>
      <c r="E21" s="5"/>
    </row>
    <row r="22" spans="1:15" ht="16.5" thickBot="1" x14ac:dyDescent="0.3">
      <c r="A22" s="244" t="s">
        <v>153</v>
      </c>
      <c r="B22" s="252"/>
      <c r="C22" s="249"/>
      <c r="D22" s="253"/>
      <c r="E22" s="254"/>
    </row>
    <row r="23" spans="1:15" ht="16.5" thickBot="1" x14ac:dyDescent="0.3">
      <c r="A23" s="73" t="s">
        <v>66</v>
      </c>
      <c r="B23" s="7" t="s">
        <v>17</v>
      </c>
      <c r="C23" s="142" t="s">
        <v>18</v>
      </c>
      <c r="D23" s="8" t="s">
        <v>19</v>
      </c>
      <c r="E23" s="97" t="s">
        <v>20</v>
      </c>
    </row>
    <row r="24" spans="1:15" ht="17.25" x14ac:dyDescent="0.25">
      <c r="A24" s="71" t="s">
        <v>111</v>
      </c>
      <c r="B24" s="352">
        <v>0.6</v>
      </c>
      <c r="C24" s="15" t="s">
        <v>112</v>
      </c>
      <c r="D24" s="227" t="s">
        <v>156</v>
      </c>
      <c r="E24" s="128"/>
      <c r="N24" s="57"/>
      <c r="O24" s="57"/>
    </row>
    <row r="25" spans="1:15" ht="17.25" x14ac:dyDescent="0.25">
      <c r="A25" s="71" t="s">
        <v>159</v>
      </c>
      <c r="B25" s="352">
        <v>1.1000000000000001</v>
      </c>
      <c r="C25" s="15" t="s">
        <v>112</v>
      </c>
      <c r="D25" s="227" t="s">
        <v>160</v>
      </c>
      <c r="E25" s="128"/>
      <c r="L25" s="58"/>
      <c r="M25" s="58"/>
      <c r="N25" s="58"/>
      <c r="O25" s="58"/>
    </row>
    <row r="26" spans="1:15" ht="17.25" x14ac:dyDescent="0.25">
      <c r="A26" s="129" t="s">
        <v>164</v>
      </c>
      <c r="B26" s="352">
        <v>1.5</v>
      </c>
      <c r="C26" s="15" t="s">
        <v>112</v>
      </c>
      <c r="D26" s="227" t="s">
        <v>165</v>
      </c>
      <c r="E26" s="128"/>
      <c r="L26" s="58"/>
      <c r="M26" s="58"/>
      <c r="N26" s="58"/>
      <c r="O26" s="58"/>
    </row>
    <row r="27" spans="1:15" x14ac:dyDescent="0.25">
      <c r="A27" s="71" t="s">
        <v>105</v>
      </c>
      <c r="B27" s="38">
        <f>IF(B20&lt;18,10,IF(B20&lt;22,8,IF(B20&lt;25,7,6)))</f>
        <v>8</v>
      </c>
      <c r="C27" s="15" t="s">
        <v>169</v>
      </c>
      <c r="D27" s="227" t="s">
        <v>170</v>
      </c>
      <c r="E27" s="128"/>
      <c r="L27" s="57"/>
      <c r="M27" s="57"/>
      <c r="N27" s="58"/>
      <c r="O27" s="58"/>
    </row>
    <row r="28" spans="1:15" ht="15.75" thickBot="1" x14ac:dyDescent="0.3">
      <c r="A28" s="130" t="s">
        <v>173</v>
      </c>
      <c r="B28" s="38">
        <f>IF(B20&lt;18,7,IF(B20&lt;22,5.5,IF(B20&lt;25,4.5,4)))</f>
        <v>5.5</v>
      </c>
      <c r="C28" s="15" t="s">
        <v>174</v>
      </c>
      <c r="D28" s="227" t="s">
        <v>170</v>
      </c>
      <c r="E28" s="128"/>
    </row>
    <row r="29" spans="1:15" ht="16.5" thickBot="1" x14ac:dyDescent="0.3">
      <c r="A29" s="69" t="s">
        <v>68</v>
      </c>
      <c r="B29" s="70" t="s">
        <v>17</v>
      </c>
      <c r="C29" s="70" t="s">
        <v>18</v>
      </c>
      <c r="D29" s="8" t="s">
        <v>19</v>
      </c>
      <c r="E29" s="82" t="s">
        <v>20</v>
      </c>
    </row>
    <row r="30" spans="1:15" ht="15.75" thickBot="1" x14ac:dyDescent="0.3">
      <c r="A30" s="74" t="s">
        <v>106</v>
      </c>
      <c r="B30" s="353">
        <v>2</v>
      </c>
      <c r="D30" s="226" t="s">
        <v>178</v>
      </c>
      <c r="E30" s="271"/>
    </row>
    <row r="31" spans="1:15" ht="16.5" thickBot="1" x14ac:dyDescent="0.3">
      <c r="A31" s="39" t="s">
        <v>179</v>
      </c>
      <c r="B31" s="60" t="s">
        <v>17</v>
      </c>
      <c r="C31" s="107" t="s">
        <v>18</v>
      </c>
      <c r="D31" s="8" t="s">
        <v>19</v>
      </c>
      <c r="E31" s="149" t="s">
        <v>20</v>
      </c>
      <c r="G31" s="53"/>
    </row>
    <row r="32" spans="1:15" ht="17.25" x14ac:dyDescent="0.25">
      <c r="A32" s="270" t="s">
        <v>133</v>
      </c>
      <c r="B32" s="236">
        <f>MAXA(B3/B24,(B6/24)/B25,B8/B26)</f>
        <v>71.3900966300059</v>
      </c>
      <c r="C32" s="99" t="s">
        <v>71</v>
      </c>
      <c r="D32" s="102"/>
      <c r="E32" s="80"/>
    </row>
    <row r="33" spans="1:6" ht="17.25" x14ac:dyDescent="0.25">
      <c r="A33" s="148" t="s">
        <v>128</v>
      </c>
      <c r="B33" s="123">
        <f>+MAXA(B28*B10,B3*B27)</f>
        <v>458.08645337587114</v>
      </c>
      <c r="C33" t="s">
        <v>82</v>
      </c>
      <c r="D33" s="76"/>
      <c r="E33" s="75"/>
      <c r="F33" s="125"/>
    </row>
    <row r="34" spans="1:6" x14ac:dyDescent="0.25">
      <c r="A34" s="74" t="s">
        <v>69</v>
      </c>
      <c r="B34" s="354">
        <v>2</v>
      </c>
      <c r="C34" t="s">
        <v>70</v>
      </c>
      <c r="D34" s="222" t="s">
        <v>180</v>
      </c>
      <c r="E34" s="271"/>
    </row>
    <row r="35" spans="1:6" x14ac:dyDescent="0.25">
      <c r="A35" s="74" t="s">
        <v>130</v>
      </c>
      <c r="B35" s="120">
        <f>IF(B33/B32&gt;5.5,5.5,IF(B33/B32&lt;4,4,B33/B32))</f>
        <v>5.5</v>
      </c>
      <c r="C35" t="s">
        <v>49</v>
      </c>
      <c r="D35" s="237" t="s">
        <v>181</v>
      </c>
      <c r="E35" s="213"/>
    </row>
    <row r="36" spans="1:6" x14ac:dyDescent="0.25">
      <c r="A36" s="74" t="s">
        <v>134</v>
      </c>
      <c r="B36" s="108">
        <f>MAX(SQRT(B33/(B34*B35*B30)),SQRT(B32/(B30*B34)))</f>
        <v>4.5631251919145335</v>
      </c>
      <c r="C36" t="s">
        <v>49</v>
      </c>
      <c r="D36" s="272"/>
      <c r="E36" s="271"/>
    </row>
    <row r="37" spans="1:6" x14ac:dyDescent="0.25">
      <c r="A37" s="74" t="s">
        <v>129</v>
      </c>
      <c r="B37" s="108">
        <f>B30*B36</f>
        <v>9.1262503838290669</v>
      </c>
      <c r="C37" t="s">
        <v>49</v>
      </c>
      <c r="D37" s="76"/>
      <c r="E37" s="213"/>
    </row>
    <row r="38" spans="1:6" x14ac:dyDescent="0.25">
      <c r="A38" s="300" t="s">
        <v>125</v>
      </c>
      <c r="B38" s="301">
        <f>ROUNDUP(B37,1)</f>
        <v>9.1999999999999993</v>
      </c>
      <c r="C38" s="182" t="s">
        <v>49</v>
      </c>
      <c r="D38" s="103"/>
      <c r="E38" s="104"/>
    </row>
    <row r="39" spans="1:6" x14ac:dyDescent="0.25">
      <c r="A39" s="110" t="s">
        <v>124</v>
      </c>
      <c r="B39" s="200">
        <f>ROUNDUP(B36,1)</f>
        <v>4.5999999999999996</v>
      </c>
      <c r="C39" s="2" t="s">
        <v>49</v>
      </c>
      <c r="D39" s="76"/>
      <c r="E39" s="75"/>
    </row>
    <row r="40" spans="1:6" x14ac:dyDescent="0.25">
      <c r="A40" s="110" t="s">
        <v>126</v>
      </c>
      <c r="B40" s="200">
        <f>ROUNDUP(B35,1)</f>
        <v>5.5</v>
      </c>
      <c r="C40" s="2" t="s">
        <v>49</v>
      </c>
      <c r="D40" s="76"/>
      <c r="E40" s="75"/>
    </row>
    <row r="41" spans="1:6" ht="17.25" x14ac:dyDescent="0.25">
      <c r="A41" s="110" t="s">
        <v>107</v>
      </c>
      <c r="B41" s="217">
        <f>B34*B38*B39</f>
        <v>84.639999999999986</v>
      </c>
      <c r="C41" s="2" t="s">
        <v>108</v>
      </c>
      <c r="D41" s="76"/>
      <c r="E41" s="267"/>
    </row>
    <row r="42" spans="1:6" ht="17.25" x14ac:dyDescent="0.25">
      <c r="A42" s="110" t="s">
        <v>109</v>
      </c>
      <c r="B42" s="217">
        <f>B41*B40</f>
        <v>465.51999999999992</v>
      </c>
      <c r="C42" s="2" t="s">
        <v>110</v>
      </c>
      <c r="D42" s="76"/>
      <c r="E42" s="340" t="str">
        <f>CONCATENATE("Exceso sobre el necesario ",ROUNDUP((B42/B33-1)*100,1)," %")</f>
        <v>Exceso sobre el necesario 1,7 %</v>
      </c>
    </row>
    <row r="43" spans="1:6" ht="18" thickBot="1" x14ac:dyDescent="0.3">
      <c r="A43" s="170" t="s">
        <v>182</v>
      </c>
      <c r="B43" s="218">
        <f>B38*B39*B40</f>
        <v>232.75999999999996</v>
      </c>
      <c r="C43" s="239" t="s">
        <v>183</v>
      </c>
      <c r="D43" s="266" t="s">
        <v>184</v>
      </c>
      <c r="E43" s="240" t="str">
        <f>IF(B42/B34&gt;1500,"Dimensiones inadecuadas"," ")</f>
        <v xml:space="preserve"> </v>
      </c>
    </row>
    <row r="44" spans="1:6" ht="16.5" thickBot="1" x14ac:dyDescent="0.3">
      <c r="A44" s="24" t="s">
        <v>72</v>
      </c>
      <c r="B44" s="25" t="s">
        <v>17</v>
      </c>
      <c r="C44" s="115" t="s">
        <v>18</v>
      </c>
      <c r="D44" s="8" t="s">
        <v>19</v>
      </c>
      <c r="E44" s="219" t="s">
        <v>20</v>
      </c>
    </row>
    <row r="45" spans="1:6" ht="17.25" x14ac:dyDescent="0.25">
      <c r="A45" s="98" t="s">
        <v>111</v>
      </c>
      <c r="B45" s="158">
        <f>B3/B41</f>
        <v>0.43320730938878399</v>
      </c>
      <c r="C45" s="99" t="s">
        <v>112</v>
      </c>
      <c r="D45" s="234" t="s">
        <v>156</v>
      </c>
      <c r="E45" s="220" t="str">
        <f>IF(OR(B45&lt;0.5,B45&gt;0.7),"Revisar","")</f>
        <v>Revisar</v>
      </c>
    </row>
    <row r="46" spans="1:6" ht="17.25" x14ac:dyDescent="0.25">
      <c r="A46" s="74" t="s">
        <v>159</v>
      </c>
      <c r="B46" s="108">
        <f>+B6/B41/24</f>
        <v>0.64981096408317607</v>
      </c>
      <c r="C46" t="s">
        <v>112</v>
      </c>
      <c r="D46" s="222" t="s">
        <v>160</v>
      </c>
      <c r="E46" s="106" t="str">
        <f>IF(B46&gt;1.1,"Revisar","")</f>
        <v/>
      </c>
    </row>
    <row r="47" spans="1:6" ht="17.25" x14ac:dyDescent="0.25">
      <c r="A47" s="221" t="s">
        <v>164</v>
      </c>
      <c r="B47" s="108">
        <f>B8/B41</f>
        <v>1.2651836595582333</v>
      </c>
      <c r="C47" t="s">
        <v>112</v>
      </c>
      <c r="D47" s="222" t="s">
        <v>165</v>
      </c>
      <c r="E47" s="106" t="str">
        <f>IF(B47&gt;1.5,"Revisar","")</f>
        <v/>
      </c>
      <c r="F47" s="242"/>
    </row>
    <row r="48" spans="1:6" x14ac:dyDescent="0.25">
      <c r="A48" s="74" t="s">
        <v>105</v>
      </c>
      <c r="B48" s="108">
        <f>+B42/B3</f>
        <v>12.695999999999996</v>
      </c>
      <c r="C48" t="s">
        <v>169</v>
      </c>
      <c r="D48" s="241" t="str">
        <f>IF($B$20&lt;18,"≥ 10,0 (BOL p 325)",((IF(AND($B$20&gt;=18,$B$20&lt;22),"≥ 8,0 (BOL p 325)",(((IF(AND($B$20&gt;=22,$B$20&lt;25),"≥ 7,0 (BOL p 325)","≥ 6,0 (BOL p 325)"))))))))</f>
        <v>≥ 8,0 (BOL p 325)</v>
      </c>
      <c r="E48" s="106" t="str">
        <f>IF(AND($B$20&gt;=15,$B$20&lt;=18,B48&gt;=10),"",IF(AND($B$20&gt;18,$B$20&lt;=22,B48&gt;=8),"",IF(AND($B$20&gt;22,$B$20&lt;=25,B48&gt;=7),"",IF(AND($B$20&gt;25,B48&gt;=6),"","Revisar"))))</f>
        <v/>
      </c>
    </row>
    <row r="49" spans="1:6" x14ac:dyDescent="0.25">
      <c r="A49" s="150" t="s">
        <v>173</v>
      </c>
      <c r="B49" s="108">
        <f>+B42/B10</f>
        <v>5.589250634091905</v>
      </c>
      <c r="C49" t="s">
        <v>174</v>
      </c>
      <c r="D49" s="222" t="str">
        <f>IF($B$20&lt;18,"≥ 7,0 (BOL p 325)",((IF(AND($B$20&gt;=18,$B$20&lt;22),"≥ 5,5 (BOL p 325)",(((IF(AND($B$20&gt;=22,$B$20&lt;25),"≥ 4,5 (BOL p 325)","≥ 4,0(BOL p 325)"))))))))</f>
        <v>≥ 5,5 (BOL p 325)</v>
      </c>
      <c r="E49" s="106" t="str">
        <f>IF(AND($B$20&gt;15,$B$20&lt;18,B49&gt;=7),"",IF(AND($B$20&gt;=18,$B$20&lt;=22,B49&gt;=5.5),"",IF(AND($B$20&gt;22,$B$20&lt;=25,B49&gt;=4.5),"",IF(AND($B$20&gt;25,B49&gt;=4),"","Revisar"))))</f>
        <v/>
      </c>
      <c r="F49" s="5"/>
    </row>
    <row r="50" spans="1:6" ht="17.25" x14ac:dyDescent="0.25">
      <c r="A50" s="74" t="s">
        <v>185</v>
      </c>
      <c r="B50" s="108">
        <f>B2*B12/1000/B42</f>
        <v>0.95472668653851578</v>
      </c>
      <c r="C50" s="88" t="s">
        <v>186</v>
      </c>
      <c r="D50" s="237" t="s">
        <v>187</v>
      </c>
      <c r="E50" s="106" t="str">
        <f>IF(B50&gt;15, "Revisar","")</f>
        <v/>
      </c>
    </row>
    <row r="51" spans="1:6" x14ac:dyDescent="0.25">
      <c r="A51" s="90" t="s">
        <v>23</v>
      </c>
      <c r="B51" s="180">
        <f>B20</f>
        <v>19</v>
      </c>
      <c r="C51" s="303" t="s">
        <v>24</v>
      </c>
      <c r="D51" s="304" t="s">
        <v>188</v>
      </c>
      <c r="E51" s="299" t="str">
        <f>IF(B51&lt;16,"Resvisar","")</f>
        <v/>
      </c>
    </row>
    <row r="52" spans="1:6" ht="15.75" customHeight="1" thickBot="1" x14ac:dyDescent="0.3">
      <c r="A52" s="166"/>
      <c r="B52" s="68"/>
      <c r="C52" s="22"/>
      <c r="D52" s="167"/>
      <c r="E52" s="5"/>
      <c r="F52" s="5"/>
    </row>
    <row r="53" spans="1:6" ht="16.5" thickBot="1" x14ac:dyDescent="0.3">
      <c r="A53" s="39" t="s">
        <v>113</v>
      </c>
      <c r="B53" s="60" t="s">
        <v>17</v>
      </c>
      <c r="C53" s="107" t="s">
        <v>18</v>
      </c>
      <c r="D53" s="8" t="s">
        <v>19</v>
      </c>
      <c r="E53" s="66" t="s">
        <v>20</v>
      </c>
      <c r="F53" s="5"/>
    </row>
    <row r="54" spans="1:6" ht="15.75" x14ac:dyDescent="0.25">
      <c r="A54" s="206" t="s">
        <v>189</v>
      </c>
      <c r="B54" s="207"/>
      <c r="C54" s="208"/>
      <c r="D54" s="209"/>
      <c r="E54" s="210"/>
      <c r="F54" s="5"/>
    </row>
    <row r="55" spans="1:6" x14ac:dyDescent="0.25">
      <c r="A55" s="202" t="s">
        <v>190</v>
      </c>
      <c r="B55" s="40">
        <f>B56*B13+B18</f>
        <v>93.888873423481968</v>
      </c>
      <c r="C55" s="15" t="s">
        <v>151</v>
      </c>
      <c r="D55" s="15"/>
      <c r="E55" s="75"/>
      <c r="F55" s="5"/>
    </row>
    <row r="56" spans="1:6" x14ac:dyDescent="0.25">
      <c r="A56" s="74" t="s">
        <v>191</v>
      </c>
      <c r="B56" s="352">
        <v>0.2</v>
      </c>
      <c r="C56" s="15" t="s">
        <v>192</v>
      </c>
      <c r="D56" s="141" t="s">
        <v>193</v>
      </c>
      <c r="E56" s="75"/>
      <c r="F56" s="5"/>
    </row>
    <row r="57" spans="1:6" x14ac:dyDescent="0.25">
      <c r="A57" s="202" t="s">
        <v>194</v>
      </c>
      <c r="B57" s="355">
        <v>3.5000000000000003E-2</v>
      </c>
      <c r="C57" s="15"/>
      <c r="D57" s="141" t="s">
        <v>195</v>
      </c>
      <c r="E57" s="75"/>
      <c r="F57" s="5"/>
    </row>
    <row r="58" spans="1:6" ht="17.25" x14ac:dyDescent="0.25">
      <c r="A58" s="202" t="s">
        <v>196</v>
      </c>
      <c r="B58" s="40">
        <f>B55/B57/1020</f>
        <v>2.6299404320303066</v>
      </c>
      <c r="C58" s="15" t="s">
        <v>32</v>
      </c>
      <c r="D58" s="15"/>
      <c r="E58" s="75"/>
      <c r="F58" s="5"/>
    </row>
    <row r="59" spans="1:6" ht="18" x14ac:dyDescent="0.35">
      <c r="A59" s="150" t="s">
        <v>197</v>
      </c>
      <c r="B59" s="356">
        <v>0.01</v>
      </c>
      <c r="C59" s="88" t="s">
        <v>198</v>
      </c>
      <c r="D59" s="140" t="s">
        <v>199</v>
      </c>
      <c r="E59" s="75"/>
      <c r="F59" s="5"/>
    </row>
    <row r="60" spans="1:6" x14ac:dyDescent="0.25">
      <c r="A60" s="224" t="s">
        <v>200</v>
      </c>
      <c r="B60" s="164">
        <f>(B71*B11)*B59*B2/B55/1000</f>
        <v>2.2276365961366788E-2</v>
      </c>
      <c r="C60" s="88" t="s">
        <v>201</v>
      </c>
      <c r="D60" s="140"/>
      <c r="E60" s="75"/>
      <c r="F60" s="5"/>
    </row>
    <row r="61" spans="1:6" ht="18" x14ac:dyDescent="0.35">
      <c r="A61" s="150" t="s">
        <v>202</v>
      </c>
      <c r="B61" s="357">
        <v>1.5E-3</v>
      </c>
      <c r="C61" s="88" t="s">
        <v>203</v>
      </c>
      <c r="D61" s="140" t="s">
        <v>204</v>
      </c>
      <c r="E61" s="75"/>
      <c r="F61" s="264"/>
    </row>
    <row r="62" spans="1:6" x14ac:dyDescent="0.25">
      <c r="A62" s="224" t="s">
        <v>205</v>
      </c>
      <c r="B62" s="243">
        <f>(B71*B11)*B61*B2/B55/1000</f>
        <v>3.3414548942050193E-3</v>
      </c>
      <c r="C62" t="s">
        <v>206</v>
      </c>
      <c r="D62" s="116"/>
      <c r="E62" s="75"/>
      <c r="F62" s="5"/>
    </row>
    <row r="63" spans="1:6" x14ac:dyDescent="0.25">
      <c r="A63" s="202" t="s">
        <v>207</v>
      </c>
      <c r="B63" s="358">
        <v>30</v>
      </c>
      <c r="C63" s="15" t="s">
        <v>208</v>
      </c>
      <c r="D63" s="235" t="s">
        <v>209</v>
      </c>
      <c r="E63" s="75"/>
      <c r="F63" s="5"/>
    </row>
    <row r="64" spans="1:6" x14ac:dyDescent="0.25">
      <c r="A64" s="201" t="s">
        <v>210</v>
      </c>
      <c r="B64">
        <f>B63/5</f>
        <v>6</v>
      </c>
      <c r="C64" s="87" t="s">
        <v>208</v>
      </c>
      <c r="D64" s="137" t="s">
        <v>211</v>
      </c>
      <c r="E64" s="72"/>
      <c r="F64" s="5"/>
    </row>
    <row r="65" spans="1:6" x14ac:dyDescent="0.25">
      <c r="A65" s="211" t="s">
        <v>212</v>
      </c>
      <c r="B65" s="127"/>
      <c r="C65" s="95"/>
      <c r="D65" s="95"/>
      <c r="E65" s="104"/>
      <c r="F65" s="5"/>
    </row>
    <row r="66" spans="1:6" ht="17.25" x14ac:dyDescent="0.25">
      <c r="A66" s="212" t="s">
        <v>213</v>
      </c>
      <c r="B66" s="40">
        <f>((B2*B12/1000*B73)-(B2*B12/1000*B73*0.15*1.42)-(B2*60/1000*0.75*0.667))/(64/(0.08206*(273+B20)))-((B2*B12/1000*B73)-(B2*B12/1000*B73*0.15*1.42)-(B2*60/1000*0.75*0.667))/(64/(0.08206*(273+B20)))*0.1-B2*0.0175*4*(0.08206*(273+B20)/64)</f>
        <v>57.599692242779376</v>
      </c>
      <c r="C66" s="15" t="s">
        <v>32</v>
      </c>
      <c r="D66" s="37"/>
      <c r="E66" s="213"/>
      <c r="F66" s="5"/>
    </row>
    <row r="67" spans="1:6" x14ac:dyDescent="0.25">
      <c r="A67" s="212" t="s">
        <v>214</v>
      </c>
      <c r="B67" s="359">
        <v>0.75</v>
      </c>
      <c r="C67" s="15"/>
      <c r="D67" s="169" t="s">
        <v>215</v>
      </c>
      <c r="E67" s="213"/>
      <c r="F67" s="5"/>
    </row>
    <row r="68" spans="1:6" ht="17.25" x14ac:dyDescent="0.25">
      <c r="A68" s="214" t="s">
        <v>216</v>
      </c>
      <c r="B68" s="96">
        <f>B66/B67</f>
        <v>76.799589657039164</v>
      </c>
      <c r="C68" s="78" t="s">
        <v>32</v>
      </c>
      <c r="D68" s="215"/>
      <c r="E68" s="216"/>
      <c r="F68" s="5"/>
    </row>
    <row r="69" spans="1:6" ht="15.75" customHeight="1" x14ac:dyDescent="0.25"/>
    <row r="70" spans="1:6" ht="15.75" customHeight="1" x14ac:dyDescent="0.25">
      <c r="A70" s="84" t="s">
        <v>217</v>
      </c>
      <c r="B70" s="85" t="s">
        <v>17</v>
      </c>
      <c r="C70" s="117" t="s">
        <v>18</v>
      </c>
      <c r="D70" s="8" t="s">
        <v>19</v>
      </c>
      <c r="E70" s="109" t="s">
        <v>20</v>
      </c>
    </row>
    <row r="71" spans="1:6" ht="15" customHeight="1" x14ac:dyDescent="0.25">
      <c r="A71" s="387" t="s">
        <v>218</v>
      </c>
      <c r="B71" s="265">
        <f>MIN(0.8,(1-0.7*B48^(-0.5)))</f>
        <v>0.8</v>
      </c>
      <c r="C71" s="15"/>
      <c r="D71" s="56" t="s">
        <v>219</v>
      </c>
      <c r="E71" s="124"/>
    </row>
    <row r="72" spans="1:6" ht="15" customHeight="1" x14ac:dyDescent="0.25">
      <c r="A72" s="388"/>
      <c r="B72" s="40">
        <f>+B11*(1-B71)</f>
        <v>59.417696138691134</v>
      </c>
      <c r="C72" s="15" t="s">
        <v>39</v>
      </c>
      <c r="D72" s="45"/>
      <c r="E72" s="16"/>
    </row>
    <row r="73" spans="1:6" ht="15" customHeight="1" x14ac:dyDescent="0.25">
      <c r="A73" s="389" t="s">
        <v>220</v>
      </c>
      <c r="B73" s="126">
        <f>1-B75/B12</f>
        <v>0.75990396158463391</v>
      </c>
      <c r="C73" s="42"/>
      <c r="D73" s="131" t="s">
        <v>221</v>
      </c>
      <c r="E73" s="184"/>
    </row>
    <row r="74" spans="1:6" ht="15" customHeight="1" x14ac:dyDescent="0.35">
      <c r="A74" s="388"/>
      <c r="B74" s="360">
        <v>0.49</v>
      </c>
      <c r="C74" s="81" t="s">
        <v>222</v>
      </c>
      <c r="D74" s="88" t="s">
        <v>223</v>
      </c>
      <c r="E74" s="124"/>
    </row>
    <row r="75" spans="1:6" ht="15" customHeight="1" x14ac:dyDescent="0.25">
      <c r="A75" s="388"/>
      <c r="B75" s="40">
        <f>B72/B74</f>
        <v>121.26060436467579</v>
      </c>
      <c r="C75" s="15" t="s">
        <v>39</v>
      </c>
      <c r="D75" s="45"/>
      <c r="E75" s="16"/>
    </row>
    <row r="76" spans="1:6" ht="15" customHeight="1" x14ac:dyDescent="0.25">
      <c r="A76" s="389" t="s">
        <v>224</v>
      </c>
      <c r="B76" s="161">
        <f>1-B77/B14</f>
        <v>0.79156398471052714</v>
      </c>
      <c r="C76" s="42"/>
      <c r="D76" s="223" t="s">
        <v>225</v>
      </c>
      <c r="E76" s="185"/>
      <c r="F76" s="5"/>
    </row>
    <row r="77" spans="1:6" ht="15" customHeight="1" x14ac:dyDescent="0.25">
      <c r="A77" s="388"/>
      <c r="B77" s="40">
        <f>102*B27^(-0.24)</f>
        <v>61.923939104147394</v>
      </c>
      <c r="C77" s="15" t="s">
        <v>39</v>
      </c>
      <c r="D77" s="45"/>
      <c r="E77" s="16"/>
      <c r="F77" s="5"/>
    </row>
    <row r="78" spans="1:6" ht="15" customHeight="1" x14ac:dyDescent="0.25">
      <c r="A78" s="389" t="s">
        <v>226</v>
      </c>
      <c r="B78" s="191">
        <f>(B15-B79)/B15</f>
        <v>3.9999999999999945E-2</v>
      </c>
      <c r="C78" s="42"/>
      <c r="D78" s="131"/>
      <c r="E78" s="185"/>
    </row>
    <row r="79" spans="1:6" ht="15" customHeight="1" x14ac:dyDescent="0.25">
      <c r="A79" s="388"/>
      <c r="B79" s="165">
        <f>B15-B55*B60/B2*1000</f>
        <v>57.040988293143499</v>
      </c>
      <c r="C79" s="15" t="s">
        <v>39</v>
      </c>
      <c r="D79" s="45"/>
      <c r="E79" s="16"/>
    </row>
    <row r="80" spans="1:6" ht="15" customHeight="1" x14ac:dyDescent="0.25">
      <c r="A80" s="389" t="s">
        <v>227</v>
      </c>
      <c r="B80" s="191">
        <f>(B16-B81)/B16</f>
        <v>3.9599999999999982E-2</v>
      </c>
      <c r="C80" s="42"/>
      <c r="D80" s="131"/>
      <c r="E80" s="185"/>
    </row>
    <row r="81" spans="1:7" ht="15" customHeight="1" x14ac:dyDescent="0.25">
      <c r="A81" s="388"/>
      <c r="B81" s="40">
        <f>B16-B55*B62/B2*1000</f>
        <v>8.6461750563028748</v>
      </c>
      <c r="C81" s="15" t="s">
        <v>39</v>
      </c>
      <c r="D81" s="45"/>
      <c r="E81" s="16"/>
    </row>
    <row r="82" spans="1:7" ht="15" customHeight="1" x14ac:dyDescent="0.25">
      <c r="A82" s="390" t="s">
        <v>228</v>
      </c>
      <c r="B82" s="361">
        <v>0</v>
      </c>
      <c r="C82" s="105" t="s">
        <v>229</v>
      </c>
      <c r="D82" s="139" t="s">
        <v>230</v>
      </c>
      <c r="E82" s="186"/>
      <c r="F82" s="5"/>
    </row>
    <row r="83" spans="1:7" ht="15" customHeight="1" thickBot="1" x14ac:dyDescent="0.3">
      <c r="A83" s="391"/>
      <c r="B83" s="187">
        <f>IF(B82&lt;1,B17-B82*10000000,10^(LOG10(B17)-B82))</f>
        <v>10000000</v>
      </c>
      <c r="C83" s="143" t="s">
        <v>149</v>
      </c>
      <c r="D83" s="52"/>
      <c r="E83" s="23"/>
    </row>
    <row r="84" spans="1:7" ht="15.75" customHeight="1" thickBot="1" x14ac:dyDescent="0.3"/>
    <row r="85" spans="1:7" ht="16.5" thickBot="1" x14ac:dyDescent="0.3">
      <c r="A85" s="6" t="s">
        <v>73</v>
      </c>
      <c r="B85" s="7" t="s">
        <v>17</v>
      </c>
      <c r="C85" s="142" t="s">
        <v>18</v>
      </c>
      <c r="D85" s="8" t="s">
        <v>19</v>
      </c>
      <c r="E85" s="9" t="s">
        <v>20</v>
      </c>
    </row>
    <row r="86" spans="1:7" x14ac:dyDescent="0.25">
      <c r="A86" s="33" t="s">
        <v>51</v>
      </c>
      <c r="B86" s="334">
        <f>'0 - BASESP'!B28</f>
        <v>1</v>
      </c>
      <c r="C86" s="10"/>
      <c r="D86" s="11" t="s">
        <v>74</v>
      </c>
      <c r="E86" s="12"/>
    </row>
    <row r="87" spans="1:7" x14ac:dyDescent="0.25">
      <c r="A87" s="30" t="s">
        <v>53</v>
      </c>
      <c r="B87" s="329">
        <f>'0 - BASESP'!B29</f>
        <v>1</v>
      </c>
      <c r="C87" s="15"/>
      <c r="D87" t="s">
        <v>75</v>
      </c>
      <c r="E87" s="16"/>
      <c r="G87" s="31"/>
    </row>
    <row r="88" spans="1:7" x14ac:dyDescent="0.25">
      <c r="A88" s="30" t="s">
        <v>55</v>
      </c>
      <c r="B88" s="329">
        <f>'0 - BASESP'!B30</f>
        <v>1</v>
      </c>
      <c r="C88" s="15"/>
      <c r="D88" t="s">
        <v>76</v>
      </c>
      <c r="E88" s="16"/>
    </row>
    <row r="89" spans="1:7" x14ac:dyDescent="0.25">
      <c r="A89" s="46" t="s">
        <v>77</v>
      </c>
      <c r="B89" s="36">
        <v>0</v>
      </c>
      <c r="C89" s="15" t="s">
        <v>70</v>
      </c>
      <c r="E89" s="16"/>
    </row>
    <row r="90" spans="1:7" x14ac:dyDescent="0.25">
      <c r="A90" s="153" t="s">
        <v>78</v>
      </c>
      <c r="B90" s="162">
        <f>B34+B89</f>
        <v>2</v>
      </c>
      <c r="C90" s="50" t="s">
        <v>70</v>
      </c>
      <c r="D90" s="65"/>
      <c r="E90" s="151"/>
    </row>
    <row r="91" spans="1:7" x14ac:dyDescent="0.25">
      <c r="A91" s="154" t="s">
        <v>231</v>
      </c>
      <c r="B91" s="362">
        <v>0.5</v>
      </c>
      <c r="C91" s="42" t="s">
        <v>49</v>
      </c>
      <c r="D91" s="255" t="s">
        <v>232</v>
      </c>
      <c r="E91" s="67"/>
    </row>
    <row r="92" spans="1:7" x14ac:dyDescent="0.25">
      <c r="A92" s="30" t="s">
        <v>127</v>
      </c>
      <c r="B92" s="38">
        <f>B40+B91</f>
        <v>6</v>
      </c>
      <c r="C92" s="15" t="s">
        <v>49</v>
      </c>
      <c r="D92" s="56"/>
      <c r="E92" s="16"/>
    </row>
    <row r="93" spans="1:7" x14ac:dyDescent="0.25">
      <c r="A93" s="30" t="s">
        <v>131</v>
      </c>
      <c r="B93" s="38">
        <f>IF(B88=2,1,0.5)</f>
        <v>0.5</v>
      </c>
      <c r="C93" s="15" t="s">
        <v>49</v>
      </c>
      <c r="D93" s="135" t="s">
        <v>233</v>
      </c>
      <c r="E93" s="16"/>
    </row>
    <row r="94" spans="1:7" x14ac:dyDescent="0.25">
      <c r="A94" s="30" t="s">
        <v>132</v>
      </c>
      <c r="B94" s="38">
        <f>IF(B96&gt;4,0.5,0.4)</f>
        <v>0.5</v>
      </c>
      <c r="C94" s="15" t="s">
        <v>49</v>
      </c>
      <c r="D94" s="188" t="s">
        <v>234</v>
      </c>
      <c r="E94" s="295"/>
    </row>
    <row r="95" spans="1:7" x14ac:dyDescent="0.25">
      <c r="A95" s="30" t="s">
        <v>235</v>
      </c>
      <c r="B95" s="363">
        <v>0.3</v>
      </c>
      <c r="C95" s="15" t="s">
        <v>49</v>
      </c>
      <c r="D95" s="296" t="s">
        <v>236</v>
      </c>
      <c r="E95" s="295"/>
    </row>
    <row r="96" spans="1:7" x14ac:dyDescent="0.25">
      <c r="A96" s="30" t="s">
        <v>237</v>
      </c>
      <c r="B96" s="17">
        <f>B92+B93-1.5</f>
        <v>5</v>
      </c>
      <c r="C96" s="15" t="s">
        <v>49</v>
      </c>
      <c r="D96" s="136" t="s">
        <v>238</v>
      </c>
      <c r="E96" s="16"/>
    </row>
    <row r="97" spans="1:9" ht="17.25" x14ac:dyDescent="0.25">
      <c r="A97" s="153" t="s">
        <v>80</v>
      </c>
      <c r="B97" s="49">
        <f>(B38+2*B94)*(B90*B39+(B90+1)*B94)</f>
        <v>109.13999999999999</v>
      </c>
      <c r="C97" s="50" t="s">
        <v>71</v>
      </c>
      <c r="D97" s="163"/>
      <c r="E97" s="297"/>
    </row>
    <row r="98" spans="1:9" ht="17.25" x14ac:dyDescent="0.25">
      <c r="A98" s="30" t="s">
        <v>81</v>
      </c>
      <c r="B98" s="38">
        <f>B97*B93</f>
        <v>54.569999999999993</v>
      </c>
      <c r="C98" s="15" t="s">
        <v>82</v>
      </c>
      <c r="D98" s="45"/>
      <c r="E98" s="16"/>
    </row>
    <row r="99" spans="1:9" ht="17.25" x14ac:dyDescent="0.25">
      <c r="A99" s="30" t="s">
        <v>83</v>
      </c>
      <c r="B99">
        <f>((B38+2*B94)*(B90+1)+B39*2*B90)*B94*B92</f>
        <v>147</v>
      </c>
      <c r="C99" s="15" t="s">
        <v>82</v>
      </c>
      <c r="D99" s="45"/>
      <c r="E99" s="16"/>
    </row>
    <row r="100" spans="1:9" ht="17.25" x14ac:dyDescent="0.25">
      <c r="A100" s="30" t="s">
        <v>114</v>
      </c>
      <c r="B100" s="54">
        <f>B98*0.1</f>
        <v>5.4569999999999999</v>
      </c>
      <c r="C100" s="15" t="s">
        <v>82</v>
      </c>
      <c r="D100" s="45"/>
      <c r="E100" s="16"/>
      <c r="I100" s="59"/>
    </row>
    <row r="101" spans="1:9" ht="17.25" x14ac:dyDescent="0.25">
      <c r="A101" s="30" t="s">
        <v>239</v>
      </c>
      <c r="B101" s="54">
        <f>B99*0.15</f>
        <v>22.05</v>
      </c>
      <c r="C101" s="15" t="s">
        <v>82</v>
      </c>
      <c r="D101" s="56"/>
      <c r="E101" s="124"/>
    </row>
    <row r="102" spans="1:9" ht="17.25" x14ac:dyDescent="0.25">
      <c r="A102" s="30" t="s">
        <v>240</v>
      </c>
      <c r="B102" s="54">
        <f>B97*B95</f>
        <v>32.741999999999997</v>
      </c>
      <c r="C102" s="81" t="s">
        <v>241</v>
      </c>
      <c r="D102" s="56"/>
      <c r="E102" s="124"/>
    </row>
    <row r="103" spans="1:9" x14ac:dyDescent="0.25">
      <c r="A103" s="30" t="s">
        <v>84</v>
      </c>
      <c r="B103" s="17">
        <f>+(B98+B99+B100+B101)*120</f>
        <v>27489.239999999998</v>
      </c>
      <c r="C103" s="15" t="s">
        <v>85</v>
      </c>
      <c r="D103" s="45" t="s">
        <v>86</v>
      </c>
      <c r="E103" s="16"/>
    </row>
    <row r="104" spans="1:9" ht="17.25" x14ac:dyDescent="0.25">
      <c r="A104" s="30" t="s">
        <v>87</v>
      </c>
      <c r="B104" s="38">
        <f>(B38+3*B94+(B39+B94)*B90)*2*(B92+B93)+(B38+B39)*2*B90*B92</f>
        <v>602.9</v>
      </c>
      <c r="C104" s="15" t="s">
        <v>71</v>
      </c>
      <c r="D104" s="45"/>
      <c r="E104" s="16"/>
    </row>
    <row r="105" spans="1:9" ht="18" thickBot="1" x14ac:dyDescent="0.3">
      <c r="A105" s="32" t="s">
        <v>115</v>
      </c>
      <c r="B105" s="44">
        <f>IF(B86=1,(B38+2*B94+2)*(B90*B39+(B90+1)*B94+2)*B96,(B38+2*B94+0.5)*(B90*B39+(B90+1)*B94+0.5)*B96)</f>
        <v>774.69999999999982</v>
      </c>
      <c r="C105" s="21" t="s">
        <v>82</v>
      </c>
      <c r="D105" s="52"/>
      <c r="E105" s="23"/>
    </row>
    <row r="106" spans="1:9" ht="15.75" thickBot="1" x14ac:dyDescent="0.3">
      <c r="B106" s="31"/>
    </row>
    <row r="107" spans="1:9" ht="16.5" thickBot="1" x14ac:dyDescent="0.3">
      <c r="A107" s="298" t="s">
        <v>88</v>
      </c>
      <c r="B107" s="7" t="s">
        <v>17</v>
      </c>
      <c r="C107" s="142" t="s">
        <v>18</v>
      </c>
      <c r="D107" s="8" t="s">
        <v>19</v>
      </c>
      <c r="E107" s="9" t="s">
        <v>20</v>
      </c>
    </row>
    <row r="108" spans="1:9" x14ac:dyDescent="0.25">
      <c r="A108" s="383" t="s">
        <v>242</v>
      </c>
      <c r="B108" s="17">
        <f>B34</f>
        <v>2</v>
      </c>
      <c r="C108" s="48" t="s">
        <v>70</v>
      </c>
      <c r="D108" s="48"/>
      <c r="E108" s="75"/>
    </row>
    <row r="109" spans="1:9" x14ac:dyDescent="0.25">
      <c r="A109" s="383"/>
      <c r="B109" s="88">
        <f>ROUNDUP(IF(SQRT(B4/3600/B34)&lt;0.3,0.3,(B4/3600/B34)^0.5),1)</f>
        <v>0.3</v>
      </c>
      <c r="C109" s="48" t="s">
        <v>117</v>
      </c>
      <c r="D109" s="135" t="s">
        <v>79</v>
      </c>
      <c r="E109" s="121"/>
      <c r="F109" s="181"/>
    </row>
    <row r="110" spans="1:9" x14ac:dyDescent="0.25">
      <c r="A110" s="384"/>
      <c r="B110" s="38">
        <f>B109+B91</f>
        <v>0.8</v>
      </c>
      <c r="C110" s="48" t="s">
        <v>118</v>
      </c>
      <c r="D110" s="135" t="s">
        <v>116</v>
      </c>
      <c r="E110" s="114"/>
    </row>
    <row r="111" spans="1:9" x14ac:dyDescent="0.25">
      <c r="A111" s="392" t="s">
        <v>243</v>
      </c>
      <c r="B111" s="41">
        <f>ROUNDUP(B34*B30,0)</f>
        <v>4</v>
      </c>
      <c r="C111" s="132" t="s">
        <v>244</v>
      </c>
      <c r="D111" s="132"/>
      <c r="E111" s="104"/>
    </row>
    <row r="112" spans="1:9" x14ac:dyDescent="0.25">
      <c r="A112" s="383"/>
      <c r="B112" s="364">
        <v>75</v>
      </c>
      <c r="C112" s="48" t="s">
        <v>245</v>
      </c>
      <c r="D112" s="48" t="s">
        <v>246</v>
      </c>
      <c r="E112" s="213"/>
    </row>
    <row r="113" spans="1:5" x14ac:dyDescent="0.25">
      <c r="A113" s="383"/>
      <c r="B113" s="17">
        <f>ROUNDUP((B4/3600/B111)*4/0.2/(PI()*(B112/1000)^2),0)</f>
        <v>10</v>
      </c>
      <c r="C113" s="48" t="s">
        <v>247</v>
      </c>
      <c r="D113" s="119" t="s">
        <v>248</v>
      </c>
      <c r="E113" s="75"/>
    </row>
    <row r="114" spans="1:5" x14ac:dyDescent="0.25">
      <c r="A114" s="383"/>
      <c r="B114" s="40">
        <f>B40+B39/2</f>
        <v>7.8</v>
      </c>
      <c r="C114" s="48" t="s">
        <v>249</v>
      </c>
      <c r="D114" s="48"/>
      <c r="E114" s="75"/>
    </row>
    <row r="115" spans="1:5" x14ac:dyDescent="0.25">
      <c r="A115" s="393"/>
      <c r="B115" s="89">
        <f>B114*B113*B111</f>
        <v>312</v>
      </c>
      <c r="C115" s="262" t="s">
        <v>250</v>
      </c>
      <c r="D115" s="263"/>
      <c r="E115" s="75"/>
    </row>
    <row r="116" spans="1:5" ht="17.25" x14ac:dyDescent="0.25">
      <c r="A116" s="258" t="s">
        <v>251</v>
      </c>
      <c r="B116" s="259">
        <f>B34*B37*B36</f>
        <v>83.288446068340193</v>
      </c>
      <c r="C116" s="51" t="s">
        <v>252</v>
      </c>
      <c r="D116" s="260"/>
      <c r="E116" s="261"/>
    </row>
    <row r="117" spans="1:5" x14ac:dyDescent="0.25">
      <c r="A117" s="385" t="s">
        <v>253</v>
      </c>
      <c r="B117" s="41">
        <v>1</v>
      </c>
      <c r="C117" s="132" t="s">
        <v>70</v>
      </c>
      <c r="D117" s="132"/>
      <c r="E117" s="104"/>
    </row>
    <row r="118" spans="1:5" x14ac:dyDescent="0.25">
      <c r="A118" s="385"/>
      <c r="B118" s="364">
        <v>75</v>
      </c>
      <c r="C118" s="48" t="s">
        <v>245</v>
      </c>
      <c r="D118" s="119" t="s">
        <v>254</v>
      </c>
      <c r="E118" s="75"/>
    </row>
    <row r="119" spans="1:5" x14ac:dyDescent="0.25">
      <c r="A119" s="385"/>
      <c r="B119" s="38">
        <f>(B68/3600/24*2)/((B118/1000)^2*PI()/4)</f>
        <v>0.40240442210195826</v>
      </c>
      <c r="C119" s="48" t="s">
        <v>67</v>
      </c>
      <c r="D119" s="88" t="s">
        <v>255</v>
      </c>
      <c r="E119" s="72"/>
    </row>
    <row r="120" spans="1:5" x14ac:dyDescent="0.25">
      <c r="A120" s="386"/>
      <c r="B120" s="146">
        <f>ROUNDUP(B39*B34+40,0)</f>
        <v>50</v>
      </c>
      <c r="C120" s="51" t="s">
        <v>249</v>
      </c>
      <c r="D120" s="51"/>
      <c r="E120" s="159"/>
    </row>
    <row r="121" spans="1:5" ht="18" thickBot="1" x14ac:dyDescent="0.3">
      <c r="A121" s="225" t="s">
        <v>256</v>
      </c>
      <c r="B121" s="86">
        <f>+B68/24*2</f>
        <v>6.3999658047532639</v>
      </c>
      <c r="C121" s="257" t="s">
        <v>257</v>
      </c>
      <c r="D121" s="257"/>
      <c r="E121" s="79"/>
    </row>
    <row r="122" spans="1:5" ht="15.75" customHeight="1" thickBot="1" x14ac:dyDescent="0.3"/>
    <row r="123" spans="1:5" ht="15" customHeight="1" thickBot="1" x14ac:dyDescent="0.3">
      <c r="A123" s="93" t="s">
        <v>89</v>
      </c>
      <c r="B123" s="91"/>
    </row>
    <row r="124" spans="1:5" ht="16.5" thickBot="1" x14ac:dyDescent="0.3">
      <c r="A124" s="6" t="s">
        <v>90</v>
      </c>
      <c r="B124" s="7" t="s">
        <v>91</v>
      </c>
      <c r="C124" s="142" t="s">
        <v>92</v>
      </c>
      <c r="D124" s="8" t="s">
        <v>93</v>
      </c>
      <c r="E124" s="9" t="s">
        <v>20</v>
      </c>
    </row>
    <row r="125" spans="1:5" x14ac:dyDescent="0.25">
      <c r="A125" s="30" t="str">
        <f>A98</f>
        <v>Hormigón solera</v>
      </c>
      <c r="B125" s="17">
        <f>+B98</f>
        <v>54.569999999999993</v>
      </c>
      <c r="C125" s="61">
        <f>VLOOKUP($A125,'PRECIOS OC (REF)'!$A$1:$D$16,4,FALSE)</f>
        <v>89.06</v>
      </c>
      <c r="D125" s="61">
        <f>B125*$C$125</f>
        <v>4860.0041999999994</v>
      </c>
      <c r="E125" s="43"/>
    </row>
    <row r="126" spans="1:5" x14ac:dyDescent="0.25">
      <c r="A126" s="30" t="s">
        <v>83</v>
      </c>
      <c r="B126" s="17">
        <f t="shared" ref="B126:B132" si="0">B99</f>
        <v>147</v>
      </c>
      <c r="C126" s="61">
        <f>VLOOKUP($A126,'PRECIOS OC (REF)'!$A$1:$D$16,4,FALSE)</f>
        <v>93.56</v>
      </c>
      <c r="D126" s="61">
        <f>B126*$C$126</f>
        <v>13753.32</v>
      </c>
      <c r="E126" s="43"/>
    </row>
    <row r="127" spans="1:5" x14ac:dyDescent="0.25">
      <c r="A127" s="30" t="s">
        <v>114</v>
      </c>
      <c r="B127" s="17">
        <f t="shared" si="0"/>
        <v>5.4569999999999999</v>
      </c>
      <c r="C127" s="61">
        <f>VLOOKUP($A127,'PRECIOS OC (REF)'!$A$1:$D$16,4,FALSE)</f>
        <v>93.56</v>
      </c>
      <c r="D127" s="61">
        <f>B127*$C$127</f>
        <v>510.55691999999999</v>
      </c>
      <c r="E127" s="43"/>
    </row>
    <row r="128" spans="1:5" x14ac:dyDescent="0.25">
      <c r="A128" s="30" t="str">
        <f>A101</f>
        <v>Hormigón separador trifásico</v>
      </c>
      <c r="B128" s="17">
        <f t="shared" si="0"/>
        <v>22.05</v>
      </c>
      <c r="C128" s="61">
        <f>C126</f>
        <v>93.56</v>
      </c>
      <c r="D128" s="61">
        <f>B128*$C$128</f>
        <v>2062.998</v>
      </c>
      <c r="E128" s="43"/>
    </row>
    <row r="129" spans="1:5" x14ac:dyDescent="0.25">
      <c r="A129" s="30" t="s">
        <v>240</v>
      </c>
      <c r="B129" s="17">
        <f t="shared" si="0"/>
        <v>32.741999999999997</v>
      </c>
      <c r="C129" s="293">
        <f>C126</f>
        <v>93.56</v>
      </c>
      <c r="D129" s="61">
        <f>B129*$C$129</f>
        <v>3063.3415199999999</v>
      </c>
      <c r="E129" s="43"/>
    </row>
    <row r="130" spans="1:5" x14ac:dyDescent="0.25">
      <c r="A130" s="30" t="s">
        <v>84</v>
      </c>
      <c r="B130" s="17">
        <f t="shared" si="0"/>
        <v>27489.239999999998</v>
      </c>
      <c r="C130" s="61">
        <f>VLOOKUP($A130,'PRECIOS OC (REF)'!$A$1:$D$16,4,FALSE)</f>
        <v>1.86</v>
      </c>
      <c r="D130" s="61">
        <f>B130*$C$130</f>
        <v>51129.986400000002</v>
      </c>
      <c r="E130" s="43"/>
    </row>
    <row r="131" spans="1:5" x14ac:dyDescent="0.25">
      <c r="A131" s="30" t="s">
        <v>87</v>
      </c>
      <c r="B131" s="17">
        <f t="shared" si="0"/>
        <v>602.9</v>
      </c>
      <c r="C131" s="61">
        <f>VLOOKUP($A131,'PRECIOS OC (REF)'!$A$1:$D$16,4,FALSE)</f>
        <v>23.96</v>
      </c>
      <c r="D131" s="61">
        <f>B131*$C$131</f>
        <v>14445.484</v>
      </c>
      <c r="E131" s="43"/>
    </row>
    <row r="132" spans="1:5" x14ac:dyDescent="0.25">
      <c r="A132" s="71" t="str">
        <f>IF(B86=2,"Excavación roca",IF(B88=1,"Excavación tierra","Excavación tierra NF"))</f>
        <v>Excavación tierra</v>
      </c>
      <c r="B132" s="17">
        <f t="shared" si="0"/>
        <v>774.69999999999982</v>
      </c>
      <c r="C132" s="61">
        <f>VLOOKUP($A132,'PRECIOS OC (REF)'!$A$1:$D$16,4,FALSE)</f>
        <v>34.61</v>
      </c>
      <c r="D132" s="61">
        <f>B132*$C$132</f>
        <v>26812.366999999995</v>
      </c>
      <c r="E132" s="43"/>
    </row>
    <row r="133" spans="1:5" x14ac:dyDescent="0.25">
      <c r="A133" s="30" t="s">
        <v>94</v>
      </c>
      <c r="B133" s="14">
        <v>1</v>
      </c>
      <c r="C133" s="365">
        <v>0.1</v>
      </c>
      <c r="D133" s="61">
        <f>SUM(D125:D131)*$C$133</f>
        <v>8982.5691040000002</v>
      </c>
      <c r="E133" s="43"/>
    </row>
    <row r="134" spans="1:5" ht="15.75" thickBot="1" x14ac:dyDescent="0.3">
      <c r="A134" s="152" t="s">
        <v>95</v>
      </c>
      <c r="B134" s="155"/>
      <c r="C134" s="155"/>
      <c r="D134" s="156">
        <f>SUM(D125:D133)</f>
        <v>125620.627144</v>
      </c>
      <c r="E134" s="157"/>
    </row>
    <row r="135" spans="1:5" ht="16.5" thickBot="1" x14ac:dyDescent="0.3">
      <c r="A135" s="6" t="s">
        <v>258</v>
      </c>
      <c r="B135" s="142" t="s">
        <v>96</v>
      </c>
      <c r="C135" s="142" t="s">
        <v>92</v>
      </c>
      <c r="D135" s="142" t="s">
        <v>97</v>
      </c>
      <c r="E135" s="179" t="s">
        <v>20</v>
      </c>
    </row>
    <row r="136" spans="1:5" x14ac:dyDescent="0.25">
      <c r="A136" s="30" t="str">
        <f>A108</f>
        <v xml:space="preserve">Compuerta canal  entrada </v>
      </c>
      <c r="B136" s="17">
        <f>B108</f>
        <v>2</v>
      </c>
      <c r="C136" s="352">
        <v>500</v>
      </c>
      <c r="D136" s="61">
        <f>B136*$C$136</f>
        <v>1000</v>
      </c>
      <c r="E136" s="43"/>
    </row>
    <row r="137" spans="1:5" x14ac:dyDescent="0.25">
      <c r="A137" s="30" t="s">
        <v>259</v>
      </c>
      <c r="B137" s="17">
        <f>B115</f>
        <v>312</v>
      </c>
      <c r="C137" s="352">
        <v>20.22</v>
      </c>
      <c r="D137" s="61">
        <f>B137*$C$137</f>
        <v>6308.6399999999994</v>
      </c>
      <c r="E137" s="43"/>
    </row>
    <row r="138" spans="1:5" x14ac:dyDescent="0.25">
      <c r="A138" s="30" t="str">
        <f>A116</f>
        <v>Separador trifásico</v>
      </c>
      <c r="B138" s="17">
        <f>B116</f>
        <v>83.288446068340193</v>
      </c>
      <c r="C138" s="352">
        <v>26.38</v>
      </c>
      <c r="D138" s="61">
        <f>B138*$C$138</f>
        <v>2197.1492072828141</v>
      </c>
      <c r="E138" s="43"/>
    </row>
    <row r="139" spans="1:5" x14ac:dyDescent="0.25">
      <c r="A139" s="30" t="s">
        <v>260</v>
      </c>
      <c r="B139" s="17">
        <f>B120</f>
        <v>50</v>
      </c>
      <c r="C139" s="352">
        <v>20.22</v>
      </c>
      <c r="D139" s="61">
        <f>B139*$C$139</f>
        <v>1011</v>
      </c>
      <c r="E139" s="43"/>
    </row>
    <row r="140" spans="1:5" x14ac:dyDescent="0.25">
      <c r="A140" s="30" t="str">
        <f>A121</f>
        <v>Antorcha</v>
      </c>
      <c r="B140" s="14">
        <v>1</v>
      </c>
      <c r="C140" s="352">
        <v>1300</v>
      </c>
      <c r="D140" s="61">
        <f>B140*$C$140</f>
        <v>1300</v>
      </c>
      <c r="E140" s="43"/>
    </row>
    <row r="141" spans="1:5" x14ac:dyDescent="0.25">
      <c r="A141" s="30" t="s">
        <v>98</v>
      </c>
      <c r="B141" s="14">
        <v>1</v>
      </c>
      <c r="C141" s="365">
        <v>0.25</v>
      </c>
      <c r="D141" s="61">
        <f>C141*$D$140</f>
        <v>325</v>
      </c>
      <c r="E141" s="43"/>
    </row>
    <row r="142" spans="1:5" ht="15.75" thickBot="1" x14ac:dyDescent="0.3">
      <c r="A142" s="152" t="s">
        <v>99</v>
      </c>
      <c r="B142" s="155"/>
      <c r="C142" s="178"/>
      <c r="D142" s="156">
        <f>SUM(D136:D141)</f>
        <v>12141.789207282814</v>
      </c>
      <c r="E142" s="157"/>
    </row>
    <row r="143" spans="1:5" ht="16.5" thickBot="1" x14ac:dyDescent="0.3">
      <c r="A143" s="173" t="s">
        <v>100</v>
      </c>
      <c r="B143" s="118"/>
      <c r="D143" s="172"/>
      <c r="E143" s="172"/>
    </row>
    <row r="144" spans="1:5" ht="16.5" thickBot="1" x14ac:dyDescent="0.3">
      <c r="A144" s="174" t="s">
        <v>101</v>
      </c>
      <c r="B144" s="175">
        <f>D134+D142</f>
        <v>137762.41635128282</v>
      </c>
      <c r="D144" s="172"/>
      <c r="E144" s="172"/>
    </row>
    <row r="146" spans="1:1" x14ac:dyDescent="0.25">
      <c r="A146" s="341" t="s">
        <v>102</v>
      </c>
    </row>
    <row r="147" spans="1:1" x14ac:dyDescent="0.25">
      <c r="A147" s="335" t="s">
        <v>465</v>
      </c>
    </row>
    <row r="148" spans="1:1" x14ac:dyDescent="0.25">
      <c r="A148" s="336" t="s">
        <v>466</v>
      </c>
    </row>
    <row r="149" spans="1:1" x14ac:dyDescent="0.25">
      <c r="A149" s="336" t="s">
        <v>467</v>
      </c>
    </row>
    <row r="150" spans="1:1" x14ac:dyDescent="0.25">
      <c r="A150" s="337" t="s">
        <v>468</v>
      </c>
    </row>
    <row r="151" spans="1:1" x14ac:dyDescent="0.25">
      <c r="A151" s="338" t="s">
        <v>469</v>
      </c>
    </row>
    <row r="152" spans="1:1" x14ac:dyDescent="0.25">
      <c r="A152" s="63" t="s">
        <v>470</v>
      </c>
    </row>
    <row r="153" spans="1:1" x14ac:dyDescent="0.25">
      <c r="A153" s="63" t="s">
        <v>471</v>
      </c>
    </row>
    <row r="155" spans="1:1" x14ac:dyDescent="0.25">
      <c r="A155" s="342" t="s">
        <v>119</v>
      </c>
    </row>
    <row r="156" spans="1:1" x14ac:dyDescent="0.25">
      <c r="A156" s="63" t="s">
        <v>122</v>
      </c>
    </row>
    <row r="157" spans="1:1" x14ac:dyDescent="0.25">
      <c r="A157" s="63"/>
    </row>
    <row r="158" spans="1:1" x14ac:dyDescent="0.25">
      <c r="A158" s="342" t="s">
        <v>120</v>
      </c>
    </row>
    <row r="159" spans="1:1" x14ac:dyDescent="0.25">
      <c r="A159" s="63" t="s">
        <v>121</v>
      </c>
    </row>
    <row r="160" spans="1:1" x14ac:dyDescent="0.25">
      <c r="A160" s="63" t="s">
        <v>261</v>
      </c>
    </row>
    <row r="161" spans="1:3" x14ac:dyDescent="0.25">
      <c r="A161" s="63" t="s">
        <v>262</v>
      </c>
    </row>
    <row r="162" spans="1:3" x14ac:dyDescent="0.25">
      <c r="A162" s="63" t="s">
        <v>472</v>
      </c>
    </row>
    <row r="163" spans="1:3" x14ac:dyDescent="0.25">
      <c r="A163" s="160" t="s">
        <v>473</v>
      </c>
    </row>
    <row r="165" spans="1:3" x14ac:dyDescent="0.25">
      <c r="A165" s="342" t="s">
        <v>460</v>
      </c>
    </row>
    <row r="166" spans="1:3" ht="15.75" thickBot="1" x14ac:dyDescent="0.3"/>
    <row r="167" spans="1:3" x14ac:dyDescent="0.25">
      <c r="A167" s="379" t="s">
        <v>154</v>
      </c>
      <c r="B167" s="381" t="s">
        <v>155</v>
      </c>
      <c r="C167" s="382"/>
    </row>
    <row r="168" spans="1:3" ht="15.75" thickBot="1" x14ac:dyDescent="0.3">
      <c r="A168" s="380"/>
      <c r="B168" s="111" t="s">
        <v>157</v>
      </c>
      <c r="C168" s="112" t="s">
        <v>158</v>
      </c>
    </row>
    <row r="169" spans="1:3" x14ac:dyDescent="0.25">
      <c r="A169" s="203" t="s">
        <v>161</v>
      </c>
      <c r="B169" s="228" t="s">
        <v>162</v>
      </c>
      <c r="C169" s="229" t="s">
        <v>163</v>
      </c>
    </row>
    <row r="170" spans="1:3" x14ac:dyDescent="0.25">
      <c r="A170" s="204" t="s">
        <v>166</v>
      </c>
      <c r="B170" s="230" t="s">
        <v>167</v>
      </c>
      <c r="C170" s="231" t="s">
        <v>168</v>
      </c>
    </row>
    <row r="171" spans="1:3" x14ac:dyDescent="0.25">
      <c r="A171" s="204" t="s">
        <v>171</v>
      </c>
      <c r="B171" s="230" t="s">
        <v>163</v>
      </c>
      <c r="C171" s="231" t="s">
        <v>172</v>
      </c>
    </row>
    <row r="172" spans="1:3" ht="15.75" thickBot="1" x14ac:dyDescent="0.3">
      <c r="A172" s="205" t="s">
        <v>175</v>
      </c>
      <c r="B172" s="232" t="s">
        <v>176</v>
      </c>
      <c r="C172" s="233" t="s">
        <v>177</v>
      </c>
    </row>
    <row r="174" spans="1:3" x14ac:dyDescent="0.25">
      <c r="A174" s="342" t="s">
        <v>463</v>
      </c>
    </row>
  </sheetData>
  <mergeCells count="11">
    <mergeCell ref="A167:A168"/>
    <mergeCell ref="B167:C167"/>
    <mergeCell ref="A108:A110"/>
    <mergeCell ref="A117:A120"/>
    <mergeCell ref="A71:A72"/>
    <mergeCell ref="A73:A75"/>
    <mergeCell ref="A78:A79"/>
    <mergeCell ref="A80:A81"/>
    <mergeCell ref="A76:A77"/>
    <mergeCell ref="A82:A83"/>
    <mergeCell ref="A111:A11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3783-B522-4E74-ACE9-C84FCE8190B1}">
  <sheetPr>
    <tabColor theme="0" tint="-0.14999847407452621"/>
  </sheetPr>
  <dimension ref="A1:F93"/>
  <sheetViews>
    <sheetView showGridLines="0" workbookViewId="0">
      <selection activeCell="B27" sqref="B27"/>
    </sheetView>
  </sheetViews>
  <sheetFormatPr baseColWidth="10" defaultColWidth="11.42578125" defaultRowHeight="15" x14ac:dyDescent="0.25"/>
  <cols>
    <col min="1" max="1" width="32.140625" customWidth="1"/>
    <col min="2" max="2" width="76.85546875" customWidth="1"/>
    <col min="3" max="3" width="13.42578125" customWidth="1"/>
    <col min="4" max="4" width="40.42578125" customWidth="1"/>
    <col min="5" max="5" width="10" customWidth="1"/>
    <col min="6" max="6" width="68" customWidth="1"/>
  </cols>
  <sheetData>
    <row r="1" spans="1:6" ht="31.5" x14ac:dyDescent="0.25">
      <c r="A1" s="305" t="s">
        <v>268</v>
      </c>
      <c r="B1" s="306" t="s">
        <v>269</v>
      </c>
      <c r="C1" s="307" t="s">
        <v>270</v>
      </c>
      <c r="D1" s="308" t="s">
        <v>271</v>
      </c>
      <c r="E1" s="311"/>
      <c r="F1" s="5"/>
    </row>
    <row r="2" spans="1:6" ht="17.25" x14ac:dyDescent="0.25">
      <c r="A2" s="98" t="s">
        <v>272</v>
      </c>
      <c r="B2" s="176" t="s">
        <v>273</v>
      </c>
      <c r="C2" s="171" t="s">
        <v>82</v>
      </c>
      <c r="D2" s="366">
        <v>34.61</v>
      </c>
      <c r="E2" s="312"/>
      <c r="F2" s="122"/>
    </row>
    <row r="3" spans="1:6" ht="17.25" x14ac:dyDescent="0.25">
      <c r="A3" s="74" t="s">
        <v>274</v>
      </c>
      <c r="B3" s="177" t="s">
        <v>275</v>
      </c>
      <c r="C3" s="18" t="s">
        <v>82</v>
      </c>
      <c r="D3" s="367">
        <v>46.07</v>
      </c>
      <c r="E3" s="312"/>
      <c r="F3" s="122"/>
    </row>
    <row r="4" spans="1:6" ht="17.25" x14ac:dyDescent="0.25">
      <c r="A4" s="74" t="s">
        <v>276</v>
      </c>
      <c r="B4" s="177" t="s">
        <v>277</v>
      </c>
      <c r="C4" s="18" t="s">
        <v>82</v>
      </c>
      <c r="D4" s="367">
        <v>63.01</v>
      </c>
      <c r="E4" s="312"/>
      <c r="F4" s="122"/>
    </row>
    <row r="5" spans="1:6" ht="17.25" x14ac:dyDescent="0.25">
      <c r="A5" s="74" t="s">
        <v>81</v>
      </c>
      <c r="B5" s="76" t="s">
        <v>278</v>
      </c>
      <c r="C5" s="18" t="s">
        <v>82</v>
      </c>
      <c r="D5" s="367">
        <v>89.06</v>
      </c>
      <c r="E5" s="312"/>
      <c r="F5" s="122"/>
    </row>
    <row r="6" spans="1:6" ht="17.25" x14ac:dyDescent="0.25">
      <c r="A6" s="74" t="s">
        <v>83</v>
      </c>
      <c r="B6" s="76" t="s">
        <v>279</v>
      </c>
      <c r="C6" s="18" t="s">
        <v>82</v>
      </c>
      <c r="D6" s="367">
        <v>93.56</v>
      </c>
      <c r="E6" s="312"/>
      <c r="F6" s="122"/>
    </row>
    <row r="7" spans="1:6" ht="17.25" x14ac:dyDescent="0.25">
      <c r="A7" s="74" t="s">
        <v>114</v>
      </c>
      <c r="B7" s="76" t="s">
        <v>279</v>
      </c>
      <c r="C7" s="18" t="s">
        <v>82</v>
      </c>
      <c r="D7" s="367">
        <v>93.56</v>
      </c>
      <c r="E7" s="312"/>
      <c r="F7" s="122"/>
    </row>
    <row r="8" spans="1:6" x14ac:dyDescent="0.25">
      <c r="A8" s="74" t="s">
        <v>84</v>
      </c>
      <c r="B8" s="76" t="s">
        <v>280</v>
      </c>
      <c r="C8" s="18" t="s">
        <v>85</v>
      </c>
      <c r="D8" s="367">
        <v>1.86</v>
      </c>
      <c r="E8" s="312"/>
      <c r="F8" s="122"/>
    </row>
    <row r="9" spans="1:6" ht="17.25" x14ac:dyDescent="0.25">
      <c r="A9" s="74" t="s">
        <v>87</v>
      </c>
      <c r="B9" s="76" t="s">
        <v>281</v>
      </c>
      <c r="C9" s="18" t="s">
        <v>71</v>
      </c>
      <c r="D9" s="367">
        <v>23.96</v>
      </c>
      <c r="E9" s="312"/>
      <c r="F9" s="122"/>
    </row>
    <row r="10" spans="1:6" ht="17.25" x14ac:dyDescent="0.25">
      <c r="A10" s="74" t="s">
        <v>263</v>
      </c>
      <c r="B10" s="76" t="s">
        <v>282</v>
      </c>
      <c r="C10" s="18" t="s">
        <v>71</v>
      </c>
      <c r="D10" s="367">
        <v>29.71</v>
      </c>
      <c r="E10" s="312"/>
      <c r="F10" s="122"/>
    </row>
    <row r="11" spans="1:6" ht="17.25" x14ac:dyDescent="0.25">
      <c r="A11" s="74" t="s">
        <v>265</v>
      </c>
      <c r="B11" s="76" t="s">
        <v>283</v>
      </c>
      <c r="C11" s="18" t="s">
        <v>71</v>
      </c>
      <c r="D11" s="368">
        <v>300</v>
      </c>
      <c r="E11" s="313"/>
      <c r="F11" s="122"/>
    </row>
    <row r="12" spans="1:6" ht="17.25" x14ac:dyDescent="0.25">
      <c r="A12" s="74" t="s">
        <v>264</v>
      </c>
      <c r="B12" s="76" t="s">
        <v>284</v>
      </c>
      <c r="C12" s="18" t="s">
        <v>71</v>
      </c>
      <c r="D12" s="368">
        <v>37.61</v>
      </c>
      <c r="E12" s="313"/>
      <c r="F12" s="122"/>
    </row>
    <row r="13" spans="1:6" ht="17.25" x14ac:dyDescent="0.25">
      <c r="A13" s="294" t="s">
        <v>267</v>
      </c>
      <c r="B13" s="309" t="s">
        <v>285</v>
      </c>
      <c r="C13" s="310" t="s">
        <v>252</v>
      </c>
      <c r="D13" s="369">
        <v>15.2</v>
      </c>
      <c r="E13" s="314"/>
      <c r="F13" s="122"/>
    </row>
    <row r="14" spans="1:6" x14ac:dyDescent="0.25">
      <c r="D14" s="53"/>
      <c r="E14" s="53"/>
    </row>
    <row r="15" spans="1:6" x14ac:dyDescent="0.25">
      <c r="D15" s="53"/>
      <c r="E15" s="53"/>
    </row>
    <row r="16" spans="1:6" x14ac:dyDescent="0.25">
      <c r="A16" s="55" t="s">
        <v>102</v>
      </c>
      <c r="D16" s="53"/>
      <c r="E16" s="53"/>
    </row>
    <row r="17" spans="1:5" x14ac:dyDescent="0.25">
      <c r="A17" s="63" t="s">
        <v>461</v>
      </c>
      <c r="D17" s="53"/>
      <c r="E17" s="53"/>
    </row>
    <row r="18" spans="1:5" x14ac:dyDescent="0.25">
      <c r="A18" s="63" t="s">
        <v>462</v>
      </c>
      <c r="D18" s="53"/>
      <c r="E18" s="53"/>
    </row>
    <row r="19" spans="1:5" x14ac:dyDescent="0.25">
      <c r="A19" s="339" t="s">
        <v>474</v>
      </c>
      <c r="D19" s="53"/>
      <c r="E19" s="53"/>
    </row>
    <row r="20" spans="1:5" x14ac:dyDescent="0.25">
      <c r="D20" s="53"/>
      <c r="E20" s="53"/>
    </row>
    <row r="21" spans="1:5" x14ac:dyDescent="0.25">
      <c r="D21" s="53"/>
      <c r="E21" s="53"/>
    </row>
    <row r="22" spans="1:5" x14ac:dyDescent="0.25">
      <c r="D22" s="53"/>
      <c r="E22" s="53"/>
    </row>
    <row r="23" spans="1:5" x14ac:dyDescent="0.25">
      <c r="D23" s="53"/>
      <c r="E23" s="53"/>
    </row>
    <row r="27" spans="1:5" x14ac:dyDescent="0.25">
      <c r="D27" s="53"/>
      <c r="E27" s="53"/>
    </row>
    <row r="28" spans="1:5" x14ac:dyDescent="0.25">
      <c r="D28" s="53"/>
      <c r="E28" s="53"/>
    </row>
    <row r="29" spans="1:5" x14ac:dyDescent="0.25">
      <c r="D29" s="53"/>
      <c r="E29" s="53"/>
    </row>
    <row r="30" spans="1:5" x14ac:dyDescent="0.25">
      <c r="D30" s="53"/>
      <c r="E30" s="53"/>
    </row>
    <row r="31" spans="1:5" x14ac:dyDescent="0.25">
      <c r="D31" s="53"/>
      <c r="E31" s="53"/>
    </row>
    <row r="32" spans="1:5" x14ac:dyDescent="0.25">
      <c r="D32" s="53"/>
      <c r="E32" s="53"/>
    </row>
    <row r="33" spans="4:5" x14ac:dyDescent="0.25">
      <c r="D33" s="53"/>
      <c r="E33" s="53"/>
    </row>
    <row r="34" spans="4:5" x14ac:dyDescent="0.25">
      <c r="D34" s="53"/>
      <c r="E34" s="53"/>
    </row>
    <row r="35" spans="4:5" x14ac:dyDescent="0.25">
      <c r="D35" s="53"/>
      <c r="E35" s="53"/>
    </row>
    <row r="36" spans="4:5" x14ac:dyDescent="0.25">
      <c r="D36" s="53"/>
      <c r="E36" s="53"/>
    </row>
    <row r="37" spans="4:5" x14ac:dyDescent="0.25">
      <c r="D37" s="53"/>
      <c r="E37" s="53"/>
    </row>
    <row r="41" spans="4:5" x14ac:dyDescent="0.25">
      <c r="D41" s="53"/>
      <c r="E41" s="53"/>
    </row>
    <row r="42" spans="4:5" x14ac:dyDescent="0.25">
      <c r="D42" s="53"/>
      <c r="E42" s="53"/>
    </row>
    <row r="43" spans="4:5" x14ac:dyDescent="0.25">
      <c r="D43" s="53"/>
      <c r="E43" s="53"/>
    </row>
    <row r="44" spans="4:5" x14ac:dyDescent="0.25">
      <c r="D44" s="53"/>
      <c r="E44" s="53"/>
    </row>
    <row r="45" spans="4:5" x14ac:dyDescent="0.25">
      <c r="D45" s="53"/>
      <c r="E45" s="53"/>
    </row>
    <row r="46" spans="4:5" x14ac:dyDescent="0.25">
      <c r="D46" s="53"/>
      <c r="E46" s="53"/>
    </row>
    <row r="47" spans="4:5" x14ac:dyDescent="0.25">
      <c r="D47" s="53"/>
      <c r="E47" s="53"/>
    </row>
    <row r="48" spans="4:5" x14ac:dyDescent="0.25">
      <c r="D48" s="53"/>
      <c r="E48" s="53"/>
    </row>
    <row r="49" spans="4:5" x14ac:dyDescent="0.25">
      <c r="D49" s="53"/>
      <c r="E49" s="53"/>
    </row>
    <row r="50" spans="4:5" x14ac:dyDescent="0.25">
      <c r="D50" s="53"/>
      <c r="E50" s="53"/>
    </row>
    <row r="51" spans="4:5" x14ac:dyDescent="0.25">
      <c r="D51" s="53"/>
      <c r="E51" s="53"/>
    </row>
    <row r="55" spans="4:5" x14ac:dyDescent="0.25">
      <c r="D55" s="53"/>
      <c r="E55" s="53"/>
    </row>
    <row r="56" spans="4:5" x14ac:dyDescent="0.25">
      <c r="D56" s="53"/>
      <c r="E56" s="53"/>
    </row>
    <row r="57" spans="4:5" x14ac:dyDescent="0.25">
      <c r="D57" s="53"/>
      <c r="E57" s="53"/>
    </row>
    <row r="58" spans="4:5" x14ac:dyDescent="0.25">
      <c r="D58" s="53"/>
      <c r="E58" s="53"/>
    </row>
    <row r="59" spans="4:5" x14ac:dyDescent="0.25">
      <c r="D59" s="53"/>
      <c r="E59" s="53"/>
    </row>
    <row r="60" spans="4:5" x14ac:dyDescent="0.25">
      <c r="D60" s="53"/>
      <c r="E60" s="53"/>
    </row>
    <row r="61" spans="4:5" x14ac:dyDescent="0.25">
      <c r="D61" s="53"/>
      <c r="E61" s="53"/>
    </row>
    <row r="62" spans="4:5" x14ac:dyDescent="0.25">
      <c r="D62" s="53"/>
      <c r="E62" s="53"/>
    </row>
    <row r="63" spans="4:5" x14ac:dyDescent="0.25">
      <c r="D63" s="53"/>
      <c r="E63" s="53"/>
    </row>
    <row r="64" spans="4:5" x14ac:dyDescent="0.25">
      <c r="D64" s="53"/>
      <c r="E64" s="53"/>
    </row>
    <row r="65" spans="4:5" x14ac:dyDescent="0.25">
      <c r="D65" s="53"/>
      <c r="E65" s="53"/>
    </row>
    <row r="69" spans="4:5" x14ac:dyDescent="0.25">
      <c r="D69" s="53"/>
      <c r="E69" s="53"/>
    </row>
    <row r="70" spans="4:5" x14ac:dyDescent="0.25">
      <c r="D70" s="53"/>
      <c r="E70" s="53"/>
    </row>
    <row r="71" spans="4:5" x14ac:dyDescent="0.25">
      <c r="D71" s="53"/>
      <c r="E71" s="53"/>
    </row>
    <row r="72" spans="4:5" x14ac:dyDescent="0.25">
      <c r="D72" s="53"/>
      <c r="E72" s="53"/>
    </row>
    <row r="73" spans="4:5" x14ac:dyDescent="0.25">
      <c r="D73" s="53"/>
      <c r="E73" s="53"/>
    </row>
    <row r="74" spans="4:5" x14ac:dyDescent="0.25">
      <c r="D74" s="53"/>
      <c r="E74" s="53"/>
    </row>
    <row r="75" spans="4:5" x14ac:dyDescent="0.25">
      <c r="D75" s="53"/>
      <c r="E75" s="53"/>
    </row>
    <row r="76" spans="4:5" x14ac:dyDescent="0.25">
      <c r="D76" s="53"/>
      <c r="E76" s="53"/>
    </row>
    <row r="77" spans="4:5" x14ac:dyDescent="0.25">
      <c r="D77" s="53"/>
      <c r="E77" s="53"/>
    </row>
    <row r="78" spans="4:5" x14ac:dyDescent="0.25">
      <c r="D78" s="53"/>
      <c r="E78" s="53"/>
    </row>
    <row r="79" spans="4:5" x14ac:dyDescent="0.25">
      <c r="D79" s="53"/>
      <c r="E79" s="53"/>
    </row>
    <row r="83" spans="4:5" x14ac:dyDescent="0.25">
      <c r="D83" s="54"/>
      <c r="E83" s="54"/>
    </row>
    <row r="84" spans="4:5" x14ac:dyDescent="0.25">
      <c r="D84" s="54"/>
      <c r="E84" s="54"/>
    </row>
    <row r="85" spans="4:5" x14ac:dyDescent="0.25">
      <c r="D85" s="54"/>
      <c r="E85" s="54"/>
    </row>
    <row r="86" spans="4:5" x14ac:dyDescent="0.25">
      <c r="D86" s="54"/>
      <c r="E86" s="54"/>
    </row>
    <row r="87" spans="4:5" x14ac:dyDescent="0.25">
      <c r="D87" s="54"/>
      <c r="E87" s="54"/>
    </row>
    <row r="88" spans="4:5" x14ac:dyDescent="0.25">
      <c r="D88" s="54"/>
      <c r="E88" s="54"/>
    </row>
    <row r="89" spans="4:5" x14ac:dyDescent="0.25">
      <c r="D89" s="54"/>
      <c r="E89" s="54"/>
    </row>
    <row r="90" spans="4:5" x14ac:dyDescent="0.25">
      <c r="D90" s="54"/>
      <c r="E90" s="54"/>
    </row>
    <row r="91" spans="4:5" x14ac:dyDescent="0.25">
      <c r="D91" s="54"/>
      <c r="E91" s="54"/>
    </row>
    <row r="92" spans="4:5" x14ac:dyDescent="0.25">
      <c r="D92" s="54"/>
      <c r="E92" s="54"/>
    </row>
    <row r="93" spans="4:5" x14ac:dyDescent="0.25">
      <c r="D93" s="54"/>
      <c r="E93" s="54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EAF63-063E-4AA1-AEEC-53A5D8773AD9}">
  <sheetPr>
    <tabColor theme="0" tint="-0.34998626667073579"/>
  </sheetPr>
  <dimension ref="A1:I165"/>
  <sheetViews>
    <sheetView showGridLines="0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11" sqref="H111"/>
    </sheetView>
  </sheetViews>
  <sheetFormatPr baseColWidth="10" defaultColWidth="11.42578125" defaultRowHeight="15" customHeight="1" x14ac:dyDescent="0.25"/>
  <cols>
    <col min="1" max="1" width="61.85546875" customWidth="1"/>
    <col min="2" max="2" width="13.140625" customWidth="1"/>
    <col min="3" max="3" width="53.5703125" style="15" customWidth="1"/>
    <col min="8" max="8" width="29.5703125" customWidth="1"/>
  </cols>
  <sheetData>
    <row r="1" spans="1:9" ht="31.5" x14ac:dyDescent="0.25">
      <c r="A1" s="315" t="s">
        <v>286</v>
      </c>
      <c r="B1" s="316" t="s">
        <v>270</v>
      </c>
      <c r="C1" s="317" t="s">
        <v>271</v>
      </c>
    </row>
    <row r="2" spans="1:9" x14ac:dyDescent="0.25">
      <c r="A2" s="64" t="s">
        <v>287</v>
      </c>
      <c r="B2" s="274" t="s">
        <v>70</v>
      </c>
      <c r="C2" s="281">
        <v>400</v>
      </c>
    </row>
    <row r="3" spans="1:9" x14ac:dyDescent="0.25">
      <c r="A3" s="64" t="s">
        <v>288</v>
      </c>
      <c r="B3" s="274" t="s">
        <v>70</v>
      </c>
      <c r="C3" s="281">
        <v>500</v>
      </c>
    </row>
    <row r="4" spans="1:9" x14ac:dyDescent="0.25">
      <c r="A4" s="64" t="s">
        <v>289</v>
      </c>
      <c r="B4" s="274" t="s">
        <v>70</v>
      </c>
      <c r="C4" s="281">
        <v>600</v>
      </c>
    </row>
    <row r="5" spans="1:9" x14ac:dyDescent="0.25">
      <c r="A5" s="64" t="s">
        <v>290</v>
      </c>
      <c r="B5" s="274" t="s">
        <v>70</v>
      </c>
      <c r="C5" s="281">
        <v>900</v>
      </c>
    </row>
    <row r="6" spans="1:9" x14ac:dyDescent="0.25">
      <c r="A6" s="275" t="s">
        <v>291</v>
      </c>
      <c r="B6" s="276" t="s">
        <v>70</v>
      </c>
      <c r="C6" s="282">
        <v>1200</v>
      </c>
    </row>
    <row r="7" spans="1:9" x14ac:dyDescent="0.25">
      <c r="A7" s="46" t="s">
        <v>292</v>
      </c>
      <c r="B7" s="274" t="s">
        <v>70</v>
      </c>
      <c r="C7" s="281">
        <v>1500</v>
      </c>
    </row>
    <row r="8" spans="1:9" x14ac:dyDescent="0.25">
      <c r="A8" s="46" t="s">
        <v>293</v>
      </c>
      <c r="B8" s="274" t="s">
        <v>70</v>
      </c>
      <c r="C8" s="281">
        <v>1600</v>
      </c>
    </row>
    <row r="9" spans="1:9" x14ac:dyDescent="0.25">
      <c r="A9" s="189" t="s">
        <v>294</v>
      </c>
      <c r="B9" s="274" t="s">
        <v>70</v>
      </c>
      <c r="C9" s="281">
        <v>1900</v>
      </c>
    </row>
    <row r="10" spans="1:9" x14ac:dyDescent="0.25">
      <c r="A10" s="46" t="s">
        <v>295</v>
      </c>
      <c r="B10" s="276" t="s">
        <v>70</v>
      </c>
      <c r="C10" s="282">
        <v>650</v>
      </c>
    </row>
    <row r="11" spans="1:9" x14ac:dyDescent="0.25">
      <c r="A11" s="64" t="s">
        <v>296</v>
      </c>
      <c r="B11" s="274" t="s">
        <v>70</v>
      </c>
      <c r="C11" s="281">
        <v>750</v>
      </c>
    </row>
    <row r="12" spans="1:9" x14ac:dyDescent="0.25">
      <c r="A12" s="64" t="s">
        <v>297</v>
      </c>
      <c r="B12" s="274" t="s">
        <v>70</v>
      </c>
      <c r="C12" s="281">
        <v>950</v>
      </c>
    </row>
    <row r="13" spans="1:9" x14ac:dyDescent="0.25">
      <c r="A13" s="64" t="s">
        <v>298</v>
      </c>
      <c r="B13" s="277" t="s">
        <v>70</v>
      </c>
      <c r="C13" s="281">
        <v>1200</v>
      </c>
    </row>
    <row r="14" spans="1:9" x14ac:dyDescent="0.25">
      <c r="A14" s="275" t="s">
        <v>299</v>
      </c>
      <c r="B14" s="274" t="s">
        <v>70</v>
      </c>
      <c r="C14" s="282">
        <v>1500</v>
      </c>
    </row>
    <row r="15" spans="1:9" x14ac:dyDescent="0.25">
      <c r="A15" s="46" t="s">
        <v>300</v>
      </c>
      <c r="B15" s="274" t="s">
        <v>70</v>
      </c>
      <c r="C15" s="281">
        <v>1850</v>
      </c>
      <c r="D15" s="88"/>
      <c r="E15" s="88"/>
      <c r="F15" s="88"/>
      <c r="G15" s="133"/>
      <c r="H15" s="133"/>
      <c r="I15" s="133"/>
    </row>
    <row r="16" spans="1:9" x14ac:dyDescent="0.25">
      <c r="A16" s="46" t="s">
        <v>301</v>
      </c>
      <c r="B16" s="274" t="s">
        <v>70</v>
      </c>
      <c r="C16" s="281">
        <v>1980</v>
      </c>
      <c r="D16" s="88"/>
      <c r="E16" s="88"/>
      <c r="F16" s="88"/>
      <c r="G16" s="88"/>
      <c r="H16" s="88"/>
      <c r="I16" s="88"/>
    </row>
    <row r="17" spans="1:9" x14ac:dyDescent="0.25">
      <c r="A17" s="46" t="s">
        <v>302</v>
      </c>
      <c r="B17" s="274" t="s">
        <v>70</v>
      </c>
      <c r="C17" s="281">
        <v>2300</v>
      </c>
      <c r="D17" s="88"/>
      <c r="E17" s="88"/>
      <c r="F17" s="88"/>
      <c r="G17" s="134"/>
      <c r="H17" s="88"/>
      <c r="I17" s="134"/>
    </row>
    <row r="18" spans="1:9" x14ac:dyDescent="0.25">
      <c r="A18" s="256" t="s">
        <v>303</v>
      </c>
      <c r="B18" s="276" t="s">
        <v>70</v>
      </c>
      <c r="C18" s="282">
        <v>3500</v>
      </c>
      <c r="D18" s="88"/>
      <c r="E18" s="88"/>
      <c r="F18" s="88"/>
      <c r="G18" s="134"/>
      <c r="H18" s="88"/>
      <c r="I18" s="134"/>
    </row>
    <row r="19" spans="1:9" x14ac:dyDescent="0.25">
      <c r="A19" s="192" t="s">
        <v>304</v>
      </c>
      <c r="B19" s="274" t="s">
        <v>70</v>
      </c>
      <c r="C19" s="281">
        <v>3900</v>
      </c>
      <c r="D19" s="88"/>
      <c r="E19" s="88"/>
      <c r="F19" s="88"/>
      <c r="G19" s="134"/>
      <c r="H19" s="88"/>
      <c r="I19" s="134"/>
    </row>
    <row r="20" spans="1:9" x14ac:dyDescent="0.25">
      <c r="A20" s="192" t="s">
        <v>305</v>
      </c>
      <c r="B20" s="274" t="s">
        <v>70</v>
      </c>
      <c r="C20" s="281">
        <v>4400</v>
      </c>
      <c r="D20" s="88"/>
      <c r="E20" s="88"/>
      <c r="F20" s="88"/>
      <c r="G20" s="134"/>
      <c r="H20" s="88"/>
      <c r="I20" s="134"/>
    </row>
    <row r="21" spans="1:9" x14ac:dyDescent="0.25">
      <c r="A21" s="192" t="s">
        <v>306</v>
      </c>
      <c r="B21" s="274" t="s">
        <v>70</v>
      </c>
      <c r="C21" s="281">
        <v>5600</v>
      </c>
      <c r="D21" s="88"/>
      <c r="E21" s="88"/>
      <c r="F21" s="88"/>
      <c r="G21" s="88"/>
      <c r="H21" s="88"/>
      <c r="I21" s="88"/>
    </row>
    <row r="22" spans="1:9" x14ac:dyDescent="0.25">
      <c r="A22" s="192" t="s">
        <v>307</v>
      </c>
      <c r="B22" s="274" t="s">
        <v>70</v>
      </c>
      <c r="C22" s="281">
        <v>7520</v>
      </c>
      <c r="D22" s="88"/>
      <c r="E22" s="88"/>
      <c r="F22" s="88"/>
      <c r="G22" s="88"/>
      <c r="H22" s="88"/>
      <c r="I22" s="88"/>
    </row>
    <row r="23" spans="1:9" x14ac:dyDescent="0.25">
      <c r="A23" s="192" t="s">
        <v>308</v>
      </c>
      <c r="B23" s="274" t="s">
        <v>70</v>
      </c>
      <c r="C23" s="281">
        <v>9000</v>
      </c>
      <c r="D23" s="88"/>
      <c r="E23" s="88"/>
      <c r="F23" s="88"/>
      <c r="G23" s="88"/>
      <c r="H23" s="88"/>
      <c r="I23" s="88"/>
    </row>
    <row r="24" spans="1:9" x14ac:dyDescent="0.25">
      <c r="A24" s="168" t="s">
        <v>309</v>
      </c>
      <c r="B24" s="276" t="s">
        <v>70</v>
      </c>
      <c r="C24" s="282">
        <v>10500</v>
      </c>
    </row>
    <row r="25" spans="1:9" x14ac:dyDescent="0.25">
      <c r="A25" s="64" t="s">
        <v>310</v>
      </c>
      <c r="B25" s="274" t="s">
        <v>70</v>
      </c>
      <c r="C25" s="281">
        <v>11700</v>
      </c>
    </row>
    <row r="26" spans="1:9" x14ac:dyDescent="0.25">
      <c r="A26" s="64" t="s">
        <v>311</v>
      </c>
      <c r="B26" s="274" t="s">
        <v>70</v>
      </c>
      <c r="C26" s="281">
        <v>13200</v>
      </c>
    </row>
    <row r="27" spans="1:9" x14ac:dyDescent="0.25">
      <c r="A27" s="64" t="s">
        <v>312</v>
      </c>
      <c r="B27" s="274" t="s">
        <v>70</v>
      </c>
      <c r="C27" s="281">
        <v>16800</v>
      </c>
    </row>
    <row r="28" spans="1:9" x14ac:dyDescent="0.25">
      <c r="A28" s="64" t="s">
        <v>313</v>
      </c>
      <c r="B28" s="274" t="s">
        <v>70</v>
      </c>
      <c r="C28" s="281">
        <v>22560</v>
      </c>
    </row>
    <row r="29" spans="1:9" x14ac:dyDescent="0.25">
      <c r="A29" s="64" t="s">
        <v>314</v>
      </c>
      <c r="B29" s="274" t="s">
        <v>70</v>
      </c>
      <c r="C29" s="281">
        <v>27000</v>
      </c>
    </row>
    <row r="30" spans="1:9" ht="17.25" x14ac:dyDescent="0.25">
      <c r="A30" s="168" t="s">
        <v>315</v>
      </c>
      <c r="B30" s="276" t="s">
        <v>70</v>
      </c>
      <c r="C30" s="282">
        <v>1950</v>
      </c>
    </row>
    <row r="31" spans="1:9" ht="17.25" x14ac:dyDescent="0.25">
      <c r="A31" s="64" t="s">
        <v>316</v>
      </c>
      <c r="B31" s="274" t="s">
        <v>70</v>
      </c>
      <c r="C31" s="281">
        <v>2200</v>
      </c>
    </row>
    <row r="32" spans="1:9" ht="17.25" x14ac:dyDescent="0.25">
      <c r="A32" s="64" t="s">
        <v>317</v>
      </c>
      <c r="B32" s="274" t="s">
        <v>70</v>
      </c>
      <c r="C32" s="281">
        <v>2800</v>
      </c>
    </row>
    <row r="33" spans="1:3" ht="17.25" x14ac:dyDescent="0.25">
      <c r="A33" s="64" t="s">
        <v>318</v>
      </c>
      <c r="B33" s="274" t="s">
        <v>70</v>
      </c>
      <c r="C33" s="281">
        <v>3824</v>
      </c>
    </row>
    <row r="34" spans="1:3" ht="17.25" x14ac:dyDescent="0.25">
      <c r="A34" s="64" t="s">
        <v>319</v>
      </c>
      <c r="B34" s="274" t="s">
        <v>70</v>
      </c>
      <c r="C34" s="281">
        <v>5431</v>
      </c>
    </row>
    <row r="35" spans="1:3" ht="17.25" x14ac:dyDescent="0.25">
      <c r="A35" s="64" t="s">
        <v>320</v>
      </c>
      <c r="B35" s="274" t="s">
        <v>70</v>
      </c>
      <c r="C35" s="281">
        <v>9763</v>
      </c>
    </row>
    <row r="36" spans="1:3" ht="17.25" x14ac:dyDescent="0.25">
      <c r="A36" s="64" t="s">
        <v>321</v>
      </c>
      <c r="B36" s="274" t="s">
        <v>70</v>
      </c>
      <c r="C36" s="281">
        <v>15782</v>
      </c>
    </row>
    <row r="37" spans="1:3" ht="17.25" x14ac:dyDescent="0.25">
      <c r="A37" s="64" t="s">
        <v>322</v>
      </c>
      <c r="B37" s="274" t="s">
        <v>70</v>
      </c>
      <c r="C37" s="281">
        <v>19250</v>
      </c>
    </row>
    <row r="38" spans="1:3" ht="17.25" x14ac:dyDescent="0.25">
      <c r="A38" s="64" t="s">
        <v>323</v>
      </c>
      <c r="B38" s="274" t="s">
        <v>70</v>
      </c>
      <c r="C38" s="281">
        <v>29536</v>
      </c>
    </row>
    <row r="39" spans="1:3" x14ac:dyDescent="0.25">
      <c r="A39" s="168" t="s">
        <v>324</v>
      </c>
      <c r="B39" s="276" t="s">
        <v>325</v>
      </c>
      <c r="C39" s="282">
        <v>150</v>
      </c>
    </row>
    <row r="40" spans="1:3" x14ac:dyDescent="0.25">
      <c r="A40" s="64" t="s">
        <v>326</v>
      </c>
      <c r="B40" s="274" t="s">
        <v>325</v>
      </c>
      <c r="C40" s="281">
        <v>180</v>
      </c>
    </row>
    <row r="41" spans="1:3" x14ac:dyDescent="0.25">
      <c r="A41" s="64" t="s">
        <v>327</v>
      </c>
      <c r="B41" s="274" t="s">
        <v>325</v>
      </c>
      <c r="C41" s="281">
        <v>295</v>
      </c>
    </row>
    <row r="42" spans="1:3" x14ac:dyDescent="0.25">
      <c r="A42" s="64" t="s">
        <v>328</v>
      </c>
      <c r="B42" s="274" t="s">
        <v>325</v>
      </c>
      <c r="C42" s="281">
        <v>390</v>
      </c>
    </row>
    <row r="43" spans="1:3" x14ac:dyDescent="0.25">
      <c r="A43" s="64" t="s">
        <v>329</v>
      </c>
      <c r="B43" s="274" t="s">
        <v>325</v>
      </c>
      <c r="C43" s="281">
        <v>475</v>
      </c>
    </row>
    <row r="44" spans="1:3" x14ac:dyDescent="0.25">
      <c r="A44" s="64" t="s">
        <v>330</v>
      </c>
      <c r="B44" s="274" t="s">
        <v>325</v>
      </c>
      <c r="C44" s="281">
        <v>600</v>
      </c>
    </row>
    <row r="45" spans="1:3" x14ac:dyDescent="0.25">
      <c r="A45" s="168" t="s">
        <v>331</v>
      </c>
      <c r="B45" s="276" t="s">
        <v>70</v>
      </c>
      <c r="C45" s="282">
        <v>12598</v>
      </c>
    </row>
    <row r="46" spans="1:3" x14ac:dyDescent="0.25">
      <c r="A46" s="64" t="s">
        <v>332</v>
      </c>
      <c r="B46" s="274" t="s">
        <v>70</v>
      </c>
      <c r="C46" s="281">
        <v>16220</v>
      </c>
    </row>
    <row r="47" spans="1:3" x14ac:dyDescent="0.25">
      <c r="A47" s="64" t="s">
        <v>333</v>
      </c>
      <c r="B47" s="274" t="s">
        <v>70</v>
      </c>
      <c r="C47" s="281">
        <v>18220</v>
      </c>
    </row>
    <row r="48" spans="1:3" x14ac:dyDescent="0.25">
      <c r="A48" s="64" t="s">
        <v>334</v>
      </c>
      <c r="B48" s="274" t="s">
        <v>70</v>
      </c>
      <c r="C48" s="281">
        <v>20650</v>
      </c>
    </row>
    <row r="49" spans="1:9" x14ac:dyDescent="0.25">
      <c r="A49" s="64" t="s">
        <v>335</v>
      </c>
      <c r="B49" s="274" t="s">
        <v>70</v>
      </c>
      <c r="C49" s="281">
        <v>28252</v>
      </c>
    </row>
    <row r="50" spans="1:9" x14ac:dyDescent="0.25">
      <c r="A50" s="64" t="s">
        <v>336</v>
      </c>
      <c r="B50" s="274" t="s">
        <v>70</v>
      </c>
      <c r="C50" s="281">
        <v>32563</v>
      </c>
      <c r="F50" s="133"/>
      <c r="G50" s="133"/>
      <c r="H50" s="133"/>
      <c r="I50" s="133"/>
    </row>
    <row r="51" spans="1:9" x14ac:dyDescent="0.25">
      <c r="A51" s="64" t="s">
        <v>337</v>
      </c>
      <c r="B51" s="274" t="s">
        <v>70</v>
      </c>
      <c r="C51" s="281">
        <v>41250</v>
      </c>
      <c r="F51" s="88"/>
      <c r="G51" s="88"/>
      <c r="H51" s="88"/>
      <c r="I51" s="88"/>
    </row>
    <row r="52" spans="1:9" x14ac:dyDescent="0.25">
      <c r="A52" s="168" t="s">
        <v>338</v>
      </c>
      <c r="B52" s="276" t="s">
        <v>70</v>
      </c>
      <c r="C52" s="282">
        <v>6875</v>
      </c>
      <c r="F52" s="88"/>
      <c r="G52" s="88"/>
      <c r="H52" s="88"/>
      <c r="I52" s="134"/>
    </row>
    <row r="53" spans="1:9" x14ac:dyDescent="0.25">
      <c r="A53" s="64" t="s">
        <v>339</v>
      </c>
      <c r="B53" s="274" t="s">
        <v>70</v>
      </c>
      <c r="C53" s="281">
        <v>8221</v>
      </c>
      <c r="F53" s="88"/>
      <c r="G53" s="88"/>
      <c r="H53" s="88"/>
      <c r="I53" s="134"/>
    </row>
    <row r="54" spans="1:9" x14ac:dyDescent="0.25">
      <c r="A54" s="64" t="s">
        <v>340</v>
      </c>
      <c r="B54" s="274" t="s">
        <v>70</v>
      </c>
      <c r="C54" s="281">
        <v>9785</v>
      </c>
      <c r="F54" s="88"/>
      <c r="G54" s="88"/>
      <c r="H54" s="88"/>
      <c r="I54" s="134"/>
    </row>
    <row r="55" spans="1:9" x14ac:dyDescent="0.25">
      <c r="A55" s="64" t="s">
        <v>341</v>
      </c>
      <c r="B55" s="274" t="s">
        <v>70</v>
      </c>
      <c r="C55" s="281">
        <v>11275</v>
      </c>
      <c r="F55" s="88"/>
      <c r="G55" s="88"/>
      <c r="H55" s="88"/>
      <c r="I55" s="134"/>
    </row>
    <row r="56" spans="1:9" x14ac:dyDescent="0.25">
      <c r="A56" s="168" t="s">
        <v>342</v>
      </c>
      <c r="B56" s="276" t="s">
        <v>70</v>
      </c>
      <c r="C56" s="282">
        <v>16000</v>
      </c>
      <c r="F56" s="88"/>
      <c r="G56" s="88"/>
      <c r="H56" s="88"/>
    </row>
    <row r="57" spans="1:9" x14ac:dyDescent="0.25">
      <c r="A57" s="64" t="s">
        <v>343</v>
      </c>
      <c r="B57" s="274" t="s">
        <v>70</v>
      </c>
      <c r="C57" s="281">
        <v>20000</v>
      </c>
      <c r="F57" s="88"/>
      <c r="G57" s="88"/>
      <c r="H57" s="88"/>
    </row>
    <row r="58" spans="1:9" x14ac:dyDescent="0.25">
      <c r="A58" s="64" t="s">
        <v>344</v>
      </c>
      <c r="B58" s="274" t="s">
        <v>70</v>
      </c>
      <c r="C58" s="281">
        <v>24000</v>
      </c>
      <c r="F58" s="88"/>
      <c r="G58" s="88"/>
      <c r="H58" s="88"/>
    </row>
    <row r="59" spans="1:9" x14ac:dyDescent="0.25">
      <c r="A59" s="168" t="s">
        <v>345</v>
      </c>
      <c r="B59" s="276" t="s">
        <v>70</v>
      </c>
      <c r="C59" s="282">
        <v>2500</v>
      </c>
      <c r="F59" s="88"/>
    </row>
    <row r="60" spans="1:9" x14ac:dyDescent="0.25">
      <c r="A60" s="64" t="s">
        <v>346</v>
      </c>
      <c r="B60" s="274" t="s">
        <v>70</v>
      </c>
      <c r="C60" s="281">
        <v>3250</v>
      </c>
      <c r="F60" s="88"/>
    </row>
    <row r="61" spans="1:9" x14ac:dyDescent="0.25">
      <c r="A61" s="64" t="s">
        <v>347</v>
      </c>
      <c r="B61" s="274" t="s">
        <v>70</v>
      </c>
      <c r="C61" s="281">
        <v>4000</v>
      </c>
      <c r="F61" s="88"/>
    </row>
    <row r="62" spans="1:9" x14ac:dyDescent="0.25">
      <c r="A62" s="64" t="s">
        <v>348</v>
      </c>
      <c r="B62" s="274" t="s">
        <v>70</v>
      </c>
      <c r="C62" s="281">
        <v>4750</v>
      </c>
      <c r="F62" s="88"/>
    </row>
    <row r="63" spans="1:9" x14ac:dyDescent="0.25">
      <c r="A63" s="64" t="s">
        <v>349</v>
      </c>
      <c r="B63" s="274" t="s">
        <v>70</v>
      </c>
      <c r="C63" s="281">
        <v>5500</v>
      </c>
      <c r="F63" s="88"/>
    </row>
    <row r="64" spans="1:9" x14ac:dyDescent="0.25">
      <c r="A64" s="64" t="s">
        <v>350</v>
      </c>
      <c r="B64" s="274" t="s">
        <v>70</v>
      </c>
      <c r="C64" s="281">
        <v>6250</v>
      </c>
      <c r="F64" s="88"/>
    </row>
    <row r="65" spans="1:7" x14ac:dyDescent="0.25">
      <c r="A65" s="168" t="s">
        <v>351</v>
      </c>
      <c r="B65" s="276" t="s">
        <v>70</v>
      </c>
      <c r="C65" s="282">
        <v>1150</v>
      </c>
      <c r="F65" s="88"/>
    </row>
    <row r="66" spans="1:7" x14ac:dyDescent="0.25">
      <c r="A66" s="64" t="s">
        <v>352</v>
      </c>
      <c r="B66" s="274" t="s">
        <v>70</v>
      </c>
      <c r="C66" s="281">
        <v>2350</v>
      </c>
      <c r="F66" s="88"/>
    </row>
    <row r="67" spans="1:7" x14ac:dyDescent="0.25">
      <c r="A67" s="64" t="s">
        <v>353</v>
      </c>
      <c r="B67" s="274" t="s">
        <v>70</v>
      </c>
      <c r="C67" s="281">
        <v>4960</v>
      </c>
      <c r="F67" s="88"/>
    </row>
    <row r="68" spans="1:7" x14ac:dyDescent="0.25">
      <c r="A68" s="64" t="s">
        <v>354</v>
      </c>
      <c r="B68" s="274" t="s">
        <v>70</v>
      </c>
      <c r="C68" s="281">
        <v>6900</v>
      </c>
      <c r="F68" s="88"/>
    </row>
    <row r="69" spans="1:7" x14ac:dyDescent="0.25">
      <c r="A69" s="64" t="s">
        <v>355</v>
      </c>
      <c r="B69" s="274" t="s">
        <v>70</v>
      </c>
      <c r="C69" s="281">
        <v>15200</v>
      </c>
      <c r="F69" s="88"/>
    </row>
    <row r="70" spans="1:7" x14ac:dyDescent="0.25">
      <c r="A70" s="168" t="s">
        <v>356</v>
      </c>
      <c r="B70" s="276" t="s">
        <v>70</v>
      </c>
      <c r="C70" s="282">
        <v>20.22</v>
      </c>
      <c r="F70" s="88"/>
    </row>
    <row r="71" spans="1:7" x14ac:dyDescent="0.25">
      <c r="A71" s="64" t="s">
        <v>357</v>
      </c>
      <c r="B71" s="274" t="s">
        <v>70</v>
      </c>
      <c r="C71" s="281">
        <v>35.5</v>
      </c>
      <c r="F71" s="88"/>
    </row>
    <row r="72" spans="1:7" x14ac:dyDescent="0.25">
      <c r="A72" s="64" t="s">
        <v>358</v>
      </c>
      <c r="B72" s="274" t="s">
        <v>70</v>
      </c>
      <c r="C72" s="281">
        <v>49.8</v>
      </c>
      <c r="F72" s="88"/>
    </row>
    <row r="73" spans="1:7" ht="17.25" x14ac:dyDescent="0.25">
      <c r="A73" s="168" t="s">
        <v>359</v>
      </c>
      <c r="B73" s="276" t="s">
        <v>70</v>
      </c>
      <c r="C73" s="282">
        <v>1300</v>
      </c>
      <c r="F73" s="88"/>
    </row>
    <row r="74" spans="1:7" ht="17.25" x14ac:dyDescent="0.25">
      <c r="A74" s="64" t="s">
        <v>360</v>
      </c>
      <c r="B74" s="274" t="s">
        <v>70</v>
      </c>
      <c r="C74" s="281">
        <v>1335</v>
      </c>
      <c r="F74" s="88"/>
    </row>
    <row r="75" spans="1:7" ht="17.25" x14ac:dyDescent="0.25">
      <c r="A75" s="64" t="s">
        <v>361</v>
      </c>
      <c r="B75" s="274" t="s">
        <v>70</v>
      </c>
      <c r="C75" s="281">
        <v>1550</v>
      </c>
      <c r="F75" s="88"/>
    </row>
    <row r="76" spans="1:7" ht="17.25" x14ac:dyDescent="0.25">
      <c r="A76" s="64" t="s">
        <v>362</v>
      </c>
      <c r="B76" s="274" t="s">
        <v>70</v>
      </c>
      <c r="C76" s="281">
        <v>1700</v>
      </c>
      <c r="F76" s="88"/>
    </row>
    <row r="77" spans="1:7" x14ac:dyDescent="0.25">
      <c r="A77" s="168" t="s">
        <v>363</v>
      </c>
      <c r="B77" s="276" t="s">
        <v>70</v>
      </c>
      <c r="C77" s="282">
        <v>32</v>
      </c>
      <c r="F77" s="88"/>
    </row>
    <row r="78" spans="1:7" x14ac:dyDescent="0.25">
      <c r="A78" s="64" t="s">
        <v>364</v>
      </c>
      <c r="B78" s="274" t="s">
        <v>70</v>
      </c>
      <c r="C78" s="281">
        <v>60</v>
      </c>
      <c r="F78" s="88"/>
    </row>
    <row r="79" spans="1:7" x14ac:dyDescent="0.25">
      <c r="A79" s="168" t="s">
        <v>365</v>
      </c>
      <c r="B79" s="276" t="s">
        <v>70</v>
      </c>
      <c r="C79" s="282">
        <v>1200</v>
      </c>
    </row>
    <row r="80" spans="1:7" x14ac:dyDescent="0.25">
      <c r="A80" s="64" t="s">
        <v>366</v>
      </c>
      <c r="B80" s="274" t="s">
        <v>70</v>
      </c>
      <c r="C80" s="281">
        <v>1400</v>
      </c>
      <c r="F80" s="133"/>
      <c r="G80" s="88"/>
    </row>
    <row r="81" spans="1:7" x14ac:dyDescent="0.25">
      <c r="A81" s="64" t="s">
        <v>367</v>
      </c>
      <c r="B81" s="274" t="s">
        <v>70</v>
      </c>
      <c r="C81" s="281">
        <v>1600</v>
      </c>
      <c r="F81" s="88"/>
      <c r="G81" s="88"/>
    </row>
    <row r="82" spans="1:7" x14ac:dyDescent="0.25">
      <c r="A82" s="64" t="s">
        <v>368</v>
      </c>
      <c r="B82" s="274" t="s">
        <v>70</v>
      </c>
      <c r="C82" s="281">
        <v>1950</v>
      </c>
      <c r="F82" s="88"/>
      <c r="G82" s="134"/>
    </row>
    <row r="83" spans="1:7" x14ac:dyDescent="0.25">
      <c r="A83" s="64" t="s">
        <v>369</v>
      </c>
      <c r="B83" s="274" t="s">
        <v>70</v>
      </c>
      <c r="C83" s="281">
        <v>2000</v>
      </c>
      <c r="F83" s="88"/>
      <c r="G83" s="134"/>
    </row>
    <row r="84" spans="1:7" x14ac:dyDescent="0.25">
      <c r="A84" s="64" t="s">
        <v>370</v>
      </c>
      <c r="B84" s="274" t="s">
        <v>70</v>
      </c>
      <c r="C84" s="281">
        <v>2200</v>
      </c>
      <c r="F84" s="88"/>
      <c r="G84" s="134"/>
    </row>
    <row r="85" spans="1:7" x14ac:dyDescent="0.25">
      <c r="A85" s="168" t="s">
        <v>371</v>
      </c>
      <c r="B85" s="276" t="s">
        <v>70</v>
      </c>
      <c r="C85" s="282">
        <v>534</v>
      </c>
      <c r="F85" s="88"/>
      <c r="G85" s="134"/>
    </row>
    <row r="86" spans="1:7" x14ac:dyDescent="0.25">
      <c r="A86" s="64" t="s">
        <v>372</v>
      </c>
      <c r="B86" s="274" t="s">
        <v>70</v>
      </c>
      <c r="C86" s="281">
        <v>655</v>
      </c>
      <c r="F86" s="88"/>
      <c r="G86" s="88"/>
    </row>
    <row r="87" spans="1:7" x14ac:dyDescent="0.25">
      <c r="A87" s="64" t="s">
        <v>373</v>
      </c>
      <c r="B87" s="274" t="s">
        <v>70</v>
      </c>
      <c r="C87" s="281">
        <v>1530</v>
      </c>
      <c r="F87" s="133"/>
      <c r="G87" s="133"/>
    </row>
    <row r="88" spans="1:7" x14ac:dyDescent="0.25">
      <c r="A88" s="64" t="s">
        <v>374</v>
      </c>
      <c r="B88" s="274" t="s">
        <v>70</v>
      </c>
      <c r="C88" s="281">
        <v>3638</v>
      </c>
      <c r="F88" s="88"/>
      <c r="G88" s="88"/>
    </row>
    <row r="89" spans="1:7" x14ac:dyDescent="0.25">
      <c r="A89" s="64" t="s">
        <v>375</v>
      </c>
      <c r="B89" s="274" t="s">
        <v>70</v>
      </c>
      <c r="C89" s="281">
        <v>4925</v>
      </c>
      <c r="F89" s="134"/>
      <c r="G89" s="134"/>
    </row>
    <row r="90" spans="1:7" x14ac:dyDescent="0.25">
      <c r="A90" s="64" t="s">
        <v>376</v>
      </c>
      <c r="B90" s="274" t="s">
        <v>70</v>
      </c>
      <c r="C90" s="281">
        <v>6275</v>
      </c>
      <c r="F90" s="134"/>
      <c r="G90" s="134"/>
    </row>
    <row r="91" spans="1:7" x14ac:dyDescent="0.25">
      <c r="A91" s="168" t="s">
        <v>377</v>
      </c>
      <c r="B91" s="276" t="s">
        <v>70</v>
      </c>
      <c r="C91" s="282">
        <v>4534</v>
      </c>
      <c r="F91" s="134"/>
      <c r="G91" s="134"/>
    </row>
    <row r="92" spans="1:7" x14ac:dyDescent="0.25">
      <c r="A92" s="64" t="s">
        <v>378</v>
      </c>
      <c r="B92" s="274" t="s">
        <v>70</v>
      </c>
      <c r="C92" s="281">
        <v>4655</v>
      </c>
      <c r="F92" s="134"/>
      <c r="G92" s="134"/>
    </row>
    <row r="93" spans="1:7" x14ac:dyDescent="0.25">
      <c r="A93" s="64" t="s">
        <v>379</v>
      </c>
      <c r="B93" s="274" t="s">
        <v>70</v>
      </c>
      <c r="C93" s="281">
        <v>5530</v>
      </c>
      <c r="F93" s="134"/>
      <c r="G93" s="134"/>
    </row>
    <row r="94" spans="1:7" x14ac:dyDescent="0.25">
      <c r="A94" s="64" t="s">
        <v>380</v>
      </c>
      <c r="B94" s="274" t="s">
        <v>70</v>
      </c>
      <c r="C94" s="281">
        <v>7638</v>
      </c>
      <c r="F94" s="134"/>
      <c r="G94" s="134"/>
    </row>
    <row r="95" spans="1:7" x14ac:dyDescent="0.25">
      <c r="A95" s="64" t="s">
        <v>381</v>
      </c>
      <c r="B95" s="274" t="s">
        <v>70</v>
      </c>
      <c r="C95" s="281">
        <v>8925</v>
      </c>
      <c r="F95" s="134"/>
      <c r="G95" s="134"/>
    </row>
    <row r="96" spans="1:7" x14ac:dyDescent="0.25">
      <c r="A96" s="64" t="s">
        <v>382</v>
      </c>
      <c r="B96" s="274" t="s">
        <v>70</v>
      </c>
      <c r="C96" s="281">
        <v>10275</v>
      </c>
    </row>
    <row r="97" spans="1:3" ht="15.75" customHeight="1" x14ac:dyDescent="0.25">
      <c r="A97" s="168" t="s">
        <v>383</v>
      </c>
      <c r="B97" s="276" t="s">
        <v>70</v>
      </c>
      <c r="C97" s="282">
        <v>995</v>
      </c>
    </row>
    <row r="98" spans="1:3" ht="17.25" x14ac:dyDescent="0.25">
      <c r="A98" s="64" t="s">
        <v>384</v>
      </c>
      <c r="B98" s="274" t="s">
        <v>70</v>
      </c>
      <c r="C98" s="281">
        <v>1025</v>
      </c>
    </row>
    <row r="99" spans="1:3" ht="17.25" x14ac:dyDescent="0.25">
      <c r="A99" s="64" t="s">
        <v>385</v>
      </c>
      <c r="B99" s="274" t="s">
        <v>70</v>
      </c>
      <c r="C99" s="370">
        <v>1100</v>
      </c>
    </row>
    <row r="100" spans="1:3" ht="17.25" x14ac:dyDescent="0.25">
      <c r="A100" s="64" t="s">
        <v>386</v>
      </c>
      <c r="B100" s="274" t="s">
        <v>70</v>
      </c>
      <c r="C100" s="370">
        <v>1600</v>
      </c>
    </row>
    <row r="101" spans="1:3" ht="17.25" x14ac:dyDescent="0.25">
      <c r="A101" s="64" t="s">
        <v>387</v>
      </c>
      <c r="B101" s="274" t="s">
        <v>70</v>
      </c>
      <c r="C101" s="370">
        <v>2000</v>
      </c>
    </row>
    <row r="102" spans="1:3" ht="17.25" x14ac:dyDescent="0.25">
      <c r="A102" s="64" t="s">
        <v>388</v>
      </c>
      <c r="B102" s="274" t="s">
        <v>70</v>
      </c>
      <c r="C102" s="370">
        <v>2600</v>
      </c>
    </row>
    <row r="103" spans="1:3" ht="17.25" x14ac:dyDescent="0.25">
      <c r="A103" s="64" t="s">
        <v>389</v>
      </c>
      <c r="B103" s="274" t="s">
        <v>70</v>
      </c>
      <c r="C103" s="370">
        <v>2800</v>
      </c>
    </row>
    <row r="104" spans="1:3" ht="17.25" x14ac:dyDescent="0.25">
      <c r="A104" s="64" t="s">
        <v>390</v>
      </c>
      <c r="B104" s="274" t="s">
        <v>70</v>
      </c>
      <c r="C104" s="370">
        <v>3200</v>
      </c>
    </row>
    <row r="105" spans="1:3" ht="17.25" x14ac:dyDescent="0.25">
      <c r="A105" s="64" t="s">
        <v>391</v>
      </c>
      <c r="B105" s="274" t="s">
        <v>70</v>
      </c>
      <c r="C105" s="370">
        <v>2800</v>
      </c>
    </row>
    <row r="106" spans="1:3" ht="17.25" x14ac:dyDescent="0.25">
      <c r="A106" s="64" t="s">
        <v>392</v>
      </c>
      <c r="B106" s="274" t="s">
        <v>70</v>
      </c>
      <c r="C106" s="370">
        <v>3200</v>
      </c>
    </row>
    <row r="107" spans="1:3" ht="17.25" x14ac:dyDescent="0.25">
      <c r="A107" s="64" t="s">
        <v>393</v>
      </c>
      <c r="B107" s="274" t="s">
        <v>70</v>
      </c>
      <c r="C107" s="370">
        <v>4200</v>
      </c>
    </row>
    <row r="108" spans="1:3" ht="17.25" x14ac:dyDescent="0.25">
      <c r="A108" s="64" t="s">
        <v>394</v>
      </c>
      <c r="B108" s="274" t="s">
        <v>70</v>
      </c>
      <c r="C108" s="370">
        <v>3200</v>
      </c>
    </row>
    <row r="109" spans="1:3" ht="17.25" x14ac:dyDescent="0.25">
      <c r="A109" s="320" t="s">
        <v>395</v>
      </c>
      <c r="B109" s="274" t="s">
        <v>70</v>
      </c>
      <c r="C109" s="370">
        <v>4200</v>
      </c>
    </row>
    <row r="110" spans="1:3" ht="17.25" x14ac:dyDescent="0.25">
      <c r="A110" s="64" t="s">
        <v>396</v>
      </c>
      <c r="B110" s="274" t="s">
        <v>70</v>
      </c>
      <c r="C110" s="370">
        <v>8200</v>
      </c>
    </row>
    <row r="111" spans="1:3" ht="17.25" x14ac:dyDescent="0.25">
      <c r="A111" s="64" t="s">
        <v>397</v>
      </c>
      <c r="B111" s="274" t="s">
        <v>70</v>
      </c>
      <c r="C111" s="370">
        <v>4200</v>
      </c>
    </row>
    <row r="112" spans="1:3" ht="17.25" x14ac:dyDescent="0.25">
      <c r="A112" s="64" t="s">
        <v>398</v>
      </c>
      <c r="B112" s="274" t="s">
        <v>70</v>
      </c>
      <c r="C112" s="370">
        <v>8200</v>
      </c>
    </row>
    <row r="113" spans="1:3" ht="17.25" x14ac:dyDescent="0.25">
      <c r="A113" s="64" t="s">
        <v>399</v>
      </c>
      <c r="B113" s="274" t="s">
        <v>70</v>
      </c>
      <c r="C113" s="370">
        <v>12400</v>
      </c>
    </row>
    <row r="114" spans="1:3" ht="17.25" x14ac:dyDescent="0.25">
      <c r="A114" s="64" t="s">
        <v>400</v>
      </c>
      <c r="B114" s="274" t="s">
        <v>70</v>
      </c>
      <c r="C114" s="370">
        <v>8200</v>
      </c>
    </row>
    <row r="115" spans="1:3" ht="17.25" x14ac:dyDescent="0.25">
      <c r="A115" s="64" t="s">
        <v>401</v>
      </c>
      <c r="B115" s="274" t="s">
        <v>70</v>
      </c>
      <c r="C115" s="370">
        <v>12400</v>
      </c>
    </row>
    <row r="116" spans="1:3" ht="17.25" x14ac:dyDescent="0.25">
      <c r="A116" s="64" t="s">
        <v>402</v>
      </c>
      <c r="B116" s="274" t="s">
        <v>70</v>
      </c>
      <c r="C116" s="370">
        <v>20400</v>
      </c>
    </row>
    <row r="117" spans="1:3" x14ac:dyDescent="0.25">
      <c r="A117" s="168" t="s">
        <v>403</v>
      </c>
      <c r="B117" s="276" t="s">
        <v>70</v>
      </c>
      <c r="C117" s="371">
        <v>1100</v>
      </c>
    </row>
    <row r="118" spans="1:3" x14ac:dyDescent="0.25">
      <c r="A118" s="64" t="s">
        <v>404</v>
      </c>
      <c r="B118" s="274" t="s">
        <v>70</v>
      </c>
      <c r="C118" s="370">
        <v>1600</v>
      </c>
    </row>
    <row r="119" spans="1:3" ht="15" customHeight="1" x14ac:dyDescent="0.25">
      <c r="A119" s="64" t="s">
        <v>405</v>
      </c>
      <c r="B119" s="274" t="s">
        <v>70</v>
      </c>
      <c r="C119" s="370">
        <v>2000</v>
      </c>
    </row>
    <row r="120" spans="1:3" ht="15" customHeight="1" x14ac:dyDescent="0.25">
      <c r="A120" s="64" t="s">
        <v>406</v>
      </c>
      <c r="B120" s="274" t="s">
        <v>70</v>
      </c>
      <c r="C120" s="370">
        <v>2600</v>
      </c>
    </row>
    <row r="121" spans="1:3" ht="15" customHeight="1" x14ac:dyDescent="0.25">
      <c r="A121" s="64" t="s">
        <v>407</v>
      </c>
      <c r="B121" s="274" t="s">
        <v>70</v>
      </c>
      <c r="C121" s="370">
        <v>2800</v>
      </c>
    </row>
    <row r="122" spans="1:3" ht="15" customHeight="1" x14ac:dyDescent="0.25">
      <c r="A122" s="168" t="s">
        <v>408</v>
      </c>
      <c r="B122" s="276" t="s">
        <v>70</v>
      </c>
      <c r="C122" s="371">
        <v>2142.8571428571431</v>
      </c>
    </row>
    <row r="123" spans="1:3" ht="15" customHeight="1" x14ac:dyDescent="0.25">
      <c r="A123" s="64" t="s">
        <v>409</v>
      </c>
      <c r="B123" s="274" t="s">
        <v>70</v>
      </c>
      <c r="C123" s="370">
        <v>2540</v>
      </c>
    </row>
    <row r="124" spans="1:3" ht="15" customHeight="1" x14ac:dyDescent="0.25">
      <c r="A124" s="64" t="s">
        <v>410</v>
      </c>
      <c r="B124" s="274" t="s">
        <v>70</v>
      </c>
      <c r="C124" s="370">
        <v>3000</v>
      </c>
    </row>
    <row r="125" spans="1:3" ht="15" customHeight="1" x14ac:dyDescent="0.25">
      <c r="A125" s="64" t="s">
        <v>411</v>
      </c>
      <c r="B125" s="274" t="s">
        <v>70</v>
      </c>
      <c r="C125" s="370">
        <v>3821.4285714285716</v>
      </c>
    </row>
    <row r="126" spans="1:3" ht="15" customHeight="1" x14ac:dyDescent="0.25">
      <c r="A126" s="168" t="s">
        <v>412</v>
      </c>
      <c r="B126" s="276" t="s">
        <v>70</v>
      </c>
      <c r="C126" s="371">
        <v>2121.4285714285716</v>
      </c>
    </row>
    <row r="127" spans="1:3" ht="15" customHeight="1" x14ac:dyDescent="0.25">
      <c r="A127" s="64" t="s">
        <v>413</v>
      </c>
      <c r="B127" s="274" t="s">
        <v>70</v>
      </c>
      <c r="C127" s="370">
        <v>3071.4285714285716</v>
      </c>
    </row>
    <row r="128" spans="1:3" ht="15" customHeight="1" x14ac:dyDescent="0.25">
      <c r="A128" s="64" t="s">
        <v>414</v>
      </c>
      <c r="B128" s="274" t="s">
        <v>70</v>
      </c>
      <c r="C128" s="370">
        <v>4107.1428571428578</v>
      </c>
    </row>
    <row r="129" spans="1:3" ht="15" customHeight="1" x14ac:dyDescent="0.25">
      <c r="A129" s="168" t="s">
        <v>415</v>
      </c>
      <c r="B129" s="276" t="s">
        <v>70</v>
      </c>
      <c r="C129" s="371">
        <v>1642.8571428571429</v>
      </c>
    </row>
    <row r="130" spans="1:3" ht="15" customHeight="1" x14ac:dyDescent="0.25">
      <c r="A130" s="64" t="s">
        <v>416</v>
      </c>
      <c r="B130" s="274" t="s">
        <v>70</v>
      </c>
      <c r="C130" s="370">
        <v>2664.2857142857147</v>
      </c>
    </row>
    <row r="131" spans="1:3" ht="15" customHeight="1" x14ac:dyDescent="0.25">
      <c r="A131" s="64" t="s">
        <v>417</v>
      </c>
      <c r="B131" s="274" t="s">
        <v>70</v>
      </c>
      <c r="C131" s="370">
        <v>3000</v>
      </c>
    </row>
    <row r="132" spans="1:3" ht="15" customHeight="1" x14ac:dyDescent="0.25">
      <c r="A132" s="168" t="s">
        <v>418</v>
      </c>
      <c r="B132" s="276" t="s">
        <v>325</v>
      </c>
      <c r="C132" s="371">
        <v>290</v>
      </c>
    </row>
    <row r="133" spans="1:3" ht="15" customHeight="1" x14ac:dyDescent="0.25">
      <c r="A133" s="168" t="s">
        <v>419</v>
      </c>
      <c r="B133" s="276" t="s">
        <v>70</v>
      </c>
      <c r="C133" s="371">
        <v>750</v>
      </c>
    </row>
    <row r="134" spans="1:3" ht="15" customHeight="1" x14ac:dyDescent="0.25">
      <c r="A134" s="64" t="s">
        <v>420</v>
      </c>
      <c r="B134" s="274" t="s">
        <v>70</v>
      </c>
      <c r="C134" s="370">
        <v>1100</v>
      </c>
    </row>
    <row r="135" spans="1:3" ht="15" customHeight="1" x14ac:dyDescent="0.25">
      <c r="A135" s="64" t="s">
        <v>421</v>
      </c>
      <c r="B135" s="274" t="s">
        <v>70</v>
      </c>
      <c r="C135" s="370">
        <v>1200</v>
      </c>
    </row>
    <row r="136" spans="1:3" ht="15" customHeight="1" x14ac:dyDescent="0.25">
      <c r="A136" s="168" t="s">
        <v>422</v>
      </c>
      <c r="B136" s="276" t="s">
        <v>423</v>
      </c>
      <c r="C136" s="371">
        <v>300</v>
      </c>
    </row>
    <row r="137" spans="1:3" ht="15" customHeight="1" x14ac:dyDescent="0.25">
      <c r="A137" s="64" t="s">
        <v>424</v>
      </c>
      <c r="B137" s="274" t="s">
        <v>423</v>
      </c>
      <c r="C137" s="372">
        <v>150</v>
      </c>
    </row>
    <row r="138" spans="1:3" ht="15" customHeight="1" x14ac:dyDescent="0.25">
      <c r="A138" s="291" t="s">
        <v>425</v>
      </c>
      <c r="B138" s="292" t="s">
        <v>423</v>
      </c>
      <c r="C138" s="373">
        <v>33.515999999999998</v>
      </c>
    </row>
    <row r="139" spans="1:3" ht="15" customHeight="1" x14ac:dyDescent="0.25">
      <c r="A139" s="64" t="s">
        <v>426</v>
      </c>
      <c r="B139" s="278" t="s">
        <v>70</v>
      </c>
      <c r="C139" s="370">
        <v>1250</v>
      </c>
    </row>
    <row r="140" spans="1:3" ht="15" customHeight="1" x14ac:dyDescent="0.25">
      <c r="A140" s="285" t="s">
        <v>427</v>
      </c>
      <c r="B140" s="286" t="s">
        <v>123</v>
      </c>
      <c r="C140" s="374">
        <v>100</v>
      </c>
    </row>
    <row r="141" spans="1:3" ht="15" customHeight="1" x14ac:dyDescent="0.25">
      <c r="A141" s="168" t="s">
        <v>428</v>
      </c>
      <c r="B141" s="279" t="s">
        <v>70</v>
      </c>
      <c r="C141" s="371">
        <v>950</v>
      </c>
    </row>
    <row r="142" spans="1:3" ht="15" customHeight="1" x14ac:dyDescent="0.25">
      <c r="A142" s="64" t="s">
        <v>429</v>
      </c>
      <c r="B142" s="278" t="s">
        <v>70</v>
      </c>
      <c r="C142" s="370">
        <v>1250</v>
      </c>
    </row>
    <row r="143" spans="1:3" ht="15" customHeight="1" x14ac:dyDescent="0.25">
      <c r="A143" s="283" t="s">
        <v>430</v>
      </c>
      <c r="B143" s="287" t="s">
        <v>70</v>
      </c>
      <c r="C143" s="372">
        <v>1950</v>
      </c>
    </row>
    <row r="144" spans="1:3" ht="15" customHeight="1" x14ac:dyDescent="0.25">
      <c r="A144" s="168" t="s">
        <v>431</v>
      </c>
      <c r="B144" s="279" t="s">
        <v>70</v>
      </c>
      <c r="C144" s="371">
        <v>1600</v>
      </c>
    </row>
    <row r="145" spans="1:3" ht="15" customHeight="1" x14ac:dyDescent="0.25">
      <c r="A145" s="64" t="s">
        <v>432</v>
      </c>
      <c r="B145" s="278" t="s">
        <v>70</v>
      </c>
      <c r="C145" s="370">
        <v>2000</v>
      </c>
    </row>
    <row r="146" spans="1:3" ht="15" customHeight="1" x14ac:dyDescent="0.25">
      <c r="A146" s="64" t="s">
        <v>433</v>
      </c>
      <c r="B146" s="278" t="s">
        <v>70</v>
      </c>
      <c r="C146" s="370">
        <v>2500</v>
      </c>
    </row>
    <row r="147" spans="1:3" ht="15" customHeight="1" x14ac:dyDescent="0.25">
      <c r="A147" s="283" t="s">
        <v>434</v>
      </c>
      <c r="B147" s="287" t="s">
        <v>70</v>
      </c>
      <c r="C147" s="372">
        <v>3100</v>
      </c>
    </row>
    <row r="148" spans="1:3" ht="15" customHeight="1" x14ac:dyDescent="0.25">
      <c r="A148" s="168" t="s">
        <v>435</v>
      </c>
      <c r="B148" s="279" t="s">
        <v>70</v>
      </c>
      <c r="C148" s="371">
        <v>200</v>
      </c>
    </row>
    <row r="149" spans="1:3" ht="15" customHeight="1" x14ac:dyDescent="0.25">
      <c r="A149" s="64" t="s">
        <v>436</v>
      </c>
      <c r="B149" s="278" t="s">
        <v>70</v>
      </c>
      <c r="C149" s="370">
        <v>250</v>
      </c>
    </row>
    <row r="150" spans="1:3" ht="15" customHeight="1" x14ac:dyDescent="0.25">
      <c r="A150" s="283" t="s">
        <v>437</v>
      </c>
      <c r="B150" s="287" t="s">
        <v>70</v>
      </c>
      <c r="C150" s="372">
        <v>310</v>
      </c>
    </row>
    <row r="151" spans="1:3" ht="15" customHeight="1" x14ac:dyDescent="0.25">
      <c r="A151" s="168" t="s">
        <v>438</v>
      </c>
      <c r="B151" s="279" t="s">
        <v>70</v>
      </c>
      <c r="C151" s="371">
        <v>2000</v>
      </c>
    </row>
    <row r="152" spans="1:3" ht="15" customHeight="1" x14ac:dyDescent="0.25">
      <c r="A152" s="64" t="s">
        <v>439</v>
      </c>
      <c r="B152" s="278" t="s">
        <v>70</v>
      </c>
      <c r="C152" s="370">
        <v>2500</v>
      </c>
    </row>
    <row r="153" spans="1:3" ht="15" customHeight="1" x14ac:dyDescent="0.25">
      <c r="A153" s="64" t="s">
        <v>440</v>
      </c>
      <c r="B153" s="278" t="s">
        <v>70</v>
      </c>
      <c r="C153" s="370">
        <v>3500</v>
      </c>
    </row>
    <row r="154" spans="1:3" ht="15" customHeight="1" x14ac:dyDescent="0.25">
      <c r="A154" s="283" t="s">
        <v>441</v>
      </c>
      <c r="B154" s="287" t="s">
        <v>70</v>
      </c>
      <c r="C154" s="372">
        <v>3600</v>
      </c>
    </row>
    <row r="155" spans="1:3" ht="15" customHeight="1" x14ac:dyDescent="0.25">
      <c r="A155" s="168" t="s">
        <v>442</v>
      </c>
      <c r="B155" s="279" t="s">
        <v>70</v>
      </c>
      <c r="C155" s="371">
        <v>600</v>
      </c>
    </row>
    <row r="156" spans="1:3" ht="15" customHeight="1" x14ac:dyDescent="0.25">
      <c r="A156" s="64" t="s">
        <v>443</v>
      </c>
      <c r="B156" s="278" t="s">
        <v>70</v>
      </c>
      <c r="C156" s="370">
        <v>750</v>
      </c>
    </row>
    <row r="157" spans="1:3" ht="15" customHeight="1" x14ac:dyDescent="0.25">
      <c r="A157" s="283" t="s">
        <v>444</v>
      </c>
      <c r="B157" s="287" t="s">
        <v>70</v>
      </c>
      <c r="C157" s="372">
        <v>930</v>
      </c>
    </row>
    <row r="158" spans="1:3" ht="15" customHeight="1" x14ac:dyDescent="0.25">
      <c r="A158" s="256" t="s">
        <v>445</v>
      </c>
      <c r="B158" s="288" t="s">
        <v>70</v>
      </c>
      <c r="C158" s="371">
        <v>1300</v>
      </c>
    </row>
    <row r="159" spans="1:3" ht="15" customHeight="1" x14ac:dyDescent="0.25">
      <c r="A159" s="192" t="s">
        <v>446</v>
      </c>
      <c r="B159" s="280" t="s">
        <v>70</v>
      </c>
      <c r="C159" s="370">
        <v>1400</v>
      </c>
    </row>
    <row r="160" spans="1:3" ht="15" customHeight="1" x14ac:dyDescent="0.25">
      <c r="A160" s="289" t="s">
        <v>447</v>
      </c>
      <c r="B160" s="290" t="s">
        <v>70</v>
      </c>
      <c r="C160" s="372">
        <v>1500</v>
      </c>
    </row>
    <row r="161" spans="1:3" ht="15" customHeight="1" x14ac:dyDescent="0.25">
      <c r="A161" s="168" t="s">
        <v>448</v>
      </c>
      <c r="B161" s="279" t="s">
        <v>70</v>
      </c>
      <c r="C161" s="375">
        <v>13250</v>
      </c>
    </row>
    <row r="162" spans="1:3" ht="15" customHeight="1" x14ac:dyDescent="0.25">
      <c r="A162" s="64" t="s">
        <v>449</v>
      </c>
      <c r="B162" s="278" t="s">
        <v>70</v>
      </c>
      <c r="C162" s="376">
        <v>15260</v>
      </c>
    </row>
    <row r="163" spans="1:3" ht="15" customHeight="1" x14ac:dyDescent="0.25">
      <c r="A163" s="283" t="s">
        <v>450</v>
      </c>
      <c r="B163" s="287" t="s">
        <v>70</v>
      </c>
      <c r="C163" s="377">
        <v>18268</v>
      </c>
    </row>
    <row r="164" spans="1:3" ht="15" customHeight="1" x14ac:dyDescent="0.25">
      <c r="A164" s="285" t="s">
        <v>451</v>
      </c>
      <c r="B164" s="286" t="s">
        <v>123</v>
      </c>
      <c r="C164" s="373">
        <v>26.38</v>
      </c>
    </row>
    <row r="165" spans="1:3" ht="15" customHeight="1" thickBot="1" x14ac:dyDescent="0.3">
      <c r="A165" s="47" t="s">
        <v>266</v>
      </c>
      <c r="B165" s="284" t="s">
        <v>70</v>
      </c>
      <c r="C165" s="378">
        <v>12598</v>
      </c>
    </row>
  </sheetData>
  <sheetProtection sheet="1" objects="1" scenarios="1"/>
  <phoneticPr fontId="48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D96B36867294E9876435959E70F62" ma:contentTypeVersion="2" ma:contentTypeDescription="Create a new document." ma:contentTypeScope="" ma:versionID="4356eddb8696cbc14a97003f31351848">
  <xsd:schema xmlns:xsd="http://www.w3.org/2001/XMLSchema" xmlns:xs="http://www.w3.org/2001/XMLSchema" xmlns:p="http://schemas.microsoft.com/office/2006/metadata/properties" xmlns:ns3="cf5ac79b-09b5-4d04-bcd7-515c4bbe12a7" targetNamespace="http://schemas.microsoft.com/office/2006/metadata/properties" ma:root="true" ma:fieldsID="19226d7bcd45f5096849f2a91f98f740" ns3:_="">
    <xsd:import namespace="cf5ac79b-09b5-4d04-bcd7-515c4bbe12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ac79b-09b5-4d04-bcd7-515c4bbe1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W 2 c z V j d q w M S k A A A A 9 g A A A B I A H A B D b 2 5 m a W c v U G F j a 2 F n Z S 5 4 b W w g o h g A K K A U A A A A A A A A A A A A A A A A A A A A A A A A A A A A h Y 9 N C s I w G E S v U r J v / o o g 5 W u 6 E H c W h I K 4 D W m s w T a V J j W 9 m w u P 5 B W s a N W d y 3 n z F j P 3 6 w 3 y s W 2 i i + 6 d 6 W y G G K Y o 0 l Z 1 l b F 1 h g Z / i J c o F 7 C V 6 i R r H U 2 y d e n o q g w d v T + n h I Q Q c E h w 1 9 e E U 8 r I v t i U 6 q h b i T 6 y + S / H x j o v r d J I w O 4 1 R n D M G M c L n m A K Z I Z Q G P s V + L T 3 2 f 5 A W A 2 N H 3 o t t I v X J Z A 5 A n l / E A 9 Q S w M E F A A C A A g A W 2 c z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t n M 1 Y o i k e 4 D g A A A B E A A A A T A B w A R m 9 y b X V s Y X M v U 2 V j d G l v b j E u b S C i G A A o o B Q A A A A A A A A A A A A A A A A A A A A A A A A A A A A r T k 0 u y c z P U w i G 0 I b W A F B L A Q I t A B Q A A g A I A F t n M 1 Y 3 a s D E p A A A A P Y A A A A S A A A A A A A A A A A A A A A A A A A A A A B D b 2 5 m a W c v U G F j a 2 F n Z S 5 4 b W x Q S w E C L Q A U A A I A C A B b Z z N W D 8 r p q 6 Q A A A D p A A A A E w A A A A A A A A A A A A A A A A D w A A A A W 0 N v b n R l b n R f V H l w Z X N d L n h t b F B L A Q I t A B Q A A g A I A F t n M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0 w e 9 O d 5 z y S I R S 2 1 0 c Y H C W A A A A A A I A A A A A A A N m A A D A A A A A E A A A A A 9 2 p 7 1 K n c r l 3 R 1 p G N K Z U 5 c A A A A A B I A A A K A A A A A Q A A A A n j p r n l W + s g L D o 0 H K w 5 9 x 3 F A A A A C Z M L 3 q A I I Q X S J 1 n B n M k 6 s K j a j Y b O Q f 2 s z i a G R 6 w t f r T n z g 0 v p g a 9 p H O 0 c s G w M Y a G G c L u x x X o k f u D B T 3 t 5 P z a M g b s W G q a a 0 u t Y o Z 3 K 9 V l g p u B Q A A A B q K M 6 N e 3 l 7 W s x x E o M E y q H O n g M p 7 g = = < / D a t a M a s h u p > 
</file>

<file path=customXml/itemProps1.xml><?xml version="1.0" encoding="utf-8"?>
<ds:datastoreItem xmlns:ds="http://schemas.openxmlformats.org/officeDocument/2006/customXml" ds:itemID="{F8A5B3A3-3A27-40A8-B06D-B8DBEC1A03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55D646-206C-4118-882D-5138108EF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ac79b-09b5-4d04-bcd7-515c4bbe12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A5FF66-ABC6-4E6C-85F8-63E2B1B357B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5E4E4E4-BD88-44E5-B55A-99ED16F05C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0 - LÉEME</vt:lpstr>
      <vt:lpstr>0 - BASESP</vt:lpstr>
      <vt:lpstr>2.1 - RAFA</vt:lpstr>
      <vt:lpstr>PRECIOS OC (REF)</vt:lpstr>
      <vt:lpstr>PRECIOS EEM (REF)</vt:lpstr>
      <vt:lpstr>'PRECIOS EEM (REF)'!AGITADORES</vt:lpstr>
      <vt:lpstr>'PRECIOS EEM (REF)'!CANAL_PARSHALL</vt:lpstr>
      <vt:lpstr>'PRECIOS EEM (REF)'!COMPUERTA_AUTOMÁTICA</vt:lpstr>
      <vt:lpstr>'PRECIOS EEM (REF)'!PUENTE_DECANTADOR</vt:lpstr>
      <vt:lpstr>'PRECIOS EEM (REF)'!PUENTE_GRUA</vt:lpstr>
      <vt:lpstr>'PRECIOS EEM (REF)'!REJA_FINOS_AUTOMÁTICA</vt:lpstr>
      <vt:lpstr>'PRECIOS EEM (REF)'!REJA_GRUESOS_AUTOMÁTICA</vt:lpstr>
      <vt:lpstr>'PRECIOS EEM (REF)'!SOPLANTES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Tejero Andrés</dc:creator>
  <cp:keywords/>
  <dc:description/>
  <cp:lastModifiedBy>Ferrer Medina, Yasmina</cp:lastModifiedBy>
  <cp:revision/>
  <dcterms:created xsi:type="dcterms:W3CDTF">2022-06-06T06:55:44Z</dcterms:created>
  <dcterms:modified xsi:type="dcterms:W3CDTF">2023-10-30T10:28:09Z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0x010100892D96B36867294E9876435959E70F62</vt:lpwstr>
  </property>
</Properties>
</file>