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Z:\DEPURACION\DIFUSION Y COMUNICACION\Pagina web FCAS\EXCEL DISEÑO PTAR\"/>
    </mc:Choice>
  </mc:AlternateContent>
  <xr:revisionPtr revIDLastSave="0" documentId="13_ncr:1_{2F624A7D-E296-4283-B26E-DA9B41B45C17}" xr6:coauthVersionLast="47" xr6:coauthVersionMax="47" xr10:uidLastSave="{00000000-0000-0000-0000-000000000000}"/>
  <bookViews>
    <workbookView xWindow="-120" yWindow="-120" windowWidth="19440" windowHeight="15000" xr2:uid="{E13A4560-926A-47CC-AC88-614C0C829B8A}"/>
  </bookViews>
  <sheets>
    <sheet name="0 - LÉEME " sheetId="73" r:id="rId1"/>
    <sheet name="0 - BASESP" sheetId="49" r:id="rId2"/>
    <sheet name="2.2 - AE+DEC2e" sheetId="58" r:id="rId3"/>
    <sheet name="PRECIOS OC (REF)" sheetId="70" r:id="rId4"/>
    <sheet name="PRECIOS EEM (REF)" sheetId="67" r:id="rId5"/>
  </sheets>
  <externalReferences>
    <externalReference r:id="rId6"/>
    <externalReference r:id="rId7"/>
  </externalReferences>
  <definedNames>
    <definedName name="AGITADORES" localSheetId="1">#REF!</definedName>
    <definedName name="AGITADORES" localSheetId="2">#REF!</definedName>
    <definedName name="AGITADORES" localSheetId="4">'PRECIOS EEM (REF)'!$A$3:$A$14</definedName>
    <definedName name="AGITADORES" localSheetId="3">#REF!</definedName>
    <definedName name="AGITADORES">#REF!</definedName>
    <definedName name="BOMBAS" localSheetId="1">#REF!+#REF!</definedName>
    <definedName name="BOMBAS" localSheetId="2">#REF!+#REF!</definedName>
    <definedName name="BOMBAS" localSheetId="4">'PRECIOS EEM (REF)'!$A$24:$A$41+'PRECIOS EEM (REF)'!$A$24:$A$41</definedName>
    <definedName name="BOMBAS" localSheetId="3">#REF!+#REF!</definedName>
    <definedName name="BOMBAS">#REF!+#REF!</definedName>
    <definedName name="CANAL_PARSHALL" localSheetId="1">#REF!</definedName>
    <definedName name="CANAL_PARSHALL" localSheetId="2">#REF!</definedName>
    <definedName name="CANAL_PARSHALL" localSheetId="4">'PRECIOS EEM (REF)'!$A$47:$A$54</definedName>
    <definedName name="CANAL_PARSHALL" localSheetId="3">#REF!</definedName>
    <definedName name="CANAL_PARSHALL">#REF!</definedName>
    <definedName name="COMPUERTA_AUTOMÁTICA" localSheetId="1">#REF!</definedName>
    <definedName name="COMPUERTA_AUTOMÁTICA" localSheetId="2">#REF!</definedName>
    <definedName name="COMPUERTA_AUTOMÁTICA" localSheetId="4">'PRECIOS EEM (REF)'!$A$55:$A$60</definedName>
    <definedName name="COMPUERTA_AUTOMÁTICA" localSheetId="3">#REF!</definedName>
    <definedName name="COMPUERTA_AUTOMÁTICA">#REF!</definedName>
    <definedName name="País" localSheetId="1">'0 - BASESP'!#REF!</definedName>
    <definedName name="País" localSheetId="0">#REF!</definedName>
    <definedName name="País" localSheetId="2">'0 - BASESP'!#REF!</definedName>
    <definedName name="País" localSheetId="3">#REF!</definedName>
    <definedName name="País">#REF!</definedName>
    <definedName name="pendiente">[1]Hoja1!$B$2:$B$4</definedName>
    <definedName name="PUENTE_DECANTADOR" localSheetId="1">#REF!</definedName>
    <definedName name="PUENTE_DECANTADOR" localSheetId="2">#REF!</definedName>
    <definedName name="PUENTE_DECANTADOR" localSheetId="4">'PRECIOS EEM (REF)'!$A$79:$A$82</definedName>
    <definedName name="PUENTE_DECANTADOR" localSheetId="3">#REF!</definedName>
    <definedName name="PUENTE_DECANTADOR">#REF!</definedName>
    <definedName name="PUENTE_GRUA" localSheetId="1">#REF!</definedName>
    <definedName name="PUENTE_GRUA" localSheetId="2">#REF!</definedName>
    <definedName name="PUENTE_GRUA" localSheetId="4">'PRECIOS EEM (REF)'!$A$83:$A$84</definedName>
    <definedName name="PUENTE_GRUA" localSheetId="3">#REF!</definedName>
    <definedName name="PUENTE_GRUA">#REF!</definedName>
    <definedName name="REJA_FINOS_AUTOMÁTICA" localSheetId="1">#REF!</definedName>
    <definedName name="REJA_FINOS_AUTOMÁTICA" localSheetId="2">#REF!</definedName>
    <definedName name="REJA_FINOS_AUTOMÁTICA" localSheetId="4">'PRECIOS EEM (REF)'!$A$94:$A$99</definedName>
    <definedName name="REJA_FINOS_AUTOMÁTICA" localSheetId="3">#REF!</definedName>
    <definedName name="REJA_FINOS_AUTOMÁTICA">#REF!</definedName>
    <definedName name="REJA_GRUESOS_AUTOMÁTICA" localSheetId="1">#REF!</definedName>
    <definedName name="REJA_GRUESOS_AUTOMÁTICA" localSheetId="2">#REF!</definedName>
    <definedName name="REJA_GRUESOS_AUTOMÁTICA" localSheetId="4">'PRECIOS EEM (REF)'!$A$87:$A$90</definedName>
    <definedName name="REJA_GRUESOS_AUTOMÁTICA" localSheetId="3">#REF!</definedName>
    <definedName name="REJA_GRUESOS_AUTOMÁTICA">#REF!</definedName>
    <definedName name="SOPLANTES" localSheetId="1">#REF!</definedName>
    <definedName name="SOPLANTES" localSheetId="2">#REF!</definedName>
    <definedName name="SOPLANTES" localSheetId="4">'PRECIOS EEM (REF)'!$A$106:$A$111</definedName>
    <definedName name="SOPLANTES" localSheetId="3">#REF!</definedName>
    <definedName name="SOPLANTES">#REF!</definedName>
    <definedName name="TIPO_TERRENO">'[2]0 - BP'!$A$24:$A$30</definedName>
    <definedName name="Tipologias" localSheetId="1">'0 - BASESP'!#REF!</definedName>
    <definedName name="tipologias">[1]Hoja1!$A$2:$A$4</definedName>
    <definedName name="Tipos_fangos" localSheetId="1">#REF!</definedName>
    <definedName name="Tipos_fangos" localSheetId="0">#REF!</definedName>
    <definedName name="Tipos_fangos" localSheetId="2">#REF!</definedName>
    <definedName name="Tipos_fangos" localSheetId="3">#REF!</definedName>
    <definedName name="Tipos_fang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58" l="1"/>
  <c r="B46" i="58"/>
  <c r="B30" i="58" l="1"/>
  <c r="B27" i="58"/>
  <c r="B24" i="58"/>
  <c r="B21" i="58"/>
  <c r="B18" i="58"/>
  <c r="B14" i="58"/>
  <c r="B13" i="58"/>
  <c r="B12" i="58"/>
  <c r="B8" i="58"/>
  <c r="B109" i="58" s="1"/>
  <c r="B9" i="58"/>
  <c r="B10" i="58"/>
  <c r="B11" i="58"/>
  <c r="B7" i="58"/>
  <c r="B5" i="58"/>
  <c r="D233" i="58" l="1"/>
  <c r="B30" i="49"/>
  <c r="B142" i="58" s="1"/>
  <c r="B29" i="49" a="1"/>
  <c r="B29" i="49" s="1"/>
  <c r="B28" i="49"/>
  <c r="B118" i="58" s="1"/>
  <c r="B4" i="58"/>
  <c r="B2" i="58"/>
  <c r="B3" i="58" l="1"/>
  <c r="B6" i="58"/>
  <c r="B120" i="58"/>
  <c r="B125" i="58" s="1"/>
  <c r="B119" i="58"/>
  <c r="B141" i="58"/>
  <c r="B140" i="58"/>
  <c r="B36" i="58"/>
  <c r="D284" i="58"/>
  <c r="D283" i="58"/>
  <c r="C282" i="58"/>
  <c r="B282" i="58"/>
  <c r="C281" i="58"/>
  <c r="B281" i="58"/>
  <c r="C280" i="58"/>
  <c r="B280" i="58"/>
  <c r="C279" i="58"/>
  <c r="B279" i="58"/>
  <c r="C278" i="58"/>
  <c r="B278" i="58"/>
  <c r="C277" i="58"/>
  <c r="B277" i="58"/>
  <c r="C276" i="58"/>
  <c r="B276" i="58"/>
  <c r="D275" i="58"/>
  <c r="C219" i="58"/>
  <c r="C218" i="58"/>
  <c r="C217" i="58"/>
  <c r="C216" i="58"/>
  <c r="C215" i="58"/>
  <c r="C212" i="58"/>
  <c r="C209" i="58"/>
  <c r="C208" i="58"/>
  <c r="C207" i="58"/>
  <c r="C206" i="58"/>
  <c r="C205" i="58"/>
  <c r="B25" i="58"/>
  <c r="B22" i="58"/>
  <c r="B19" i="58"/>
  <c r="B31" i="58"/>
  <c r="B28" i="58"/>
  <c r="B104" i="58"/>
  <c r="B107" i="58" s="1"/>
  <c r="B105" i="58" s="1"/>
  <c r="D276" i="58" l="1"/>
  <c r="D277" i="58"/>
  <c r="D278" i="58"/>
  <c r="D279" i="58"/>
  <c r="D280" i="58"/>
  <c r="D281" i="58"/>
  <c r="D282" i="58"/>
  <c r="D61" i="58"/>
  <c r="B185" i="58"/>
  <c r="B111" i="58" l="1"/>
  <c r="E110" i="58" l="1"/>
  <c r="B110" i="58"/>
  <c r="B343" i="58" l="1"/>
  <c r="B345" i="58" s="1"/>
  <c r="B342" i="58"/>
  <c r="B344" i="58" s="1"/>
  <c r="B340" i="58"/>
  <c r="B338" i="58"/>
  <c r="B335" i="58"/>
  <c r="B322" i="58"/>
  <c r="B320" i="58"/>
  <c r="B240" i="58"/>
  <c r="D240" i="58" s="1"/>
  <c r="A239" i="58"/>
  <c r="A238" i="58"/>
  <c r="A237" i="58"/>
  <c r="A232" i="58"/>
  <c r="A228" i="58"/>
  <c r="A227" i="58"/>
  <c r="A226" i="58"/>
  <c r="A225" i="58"/>
  <c r="A224" i="58"/>
  <c r="B192" i="58"/>
  <c r="B239" i="58" s="1"/>
  <c r="D239" i="58" s="1"/>
  <c r="B180" i="58"/>
  <c r="B232" i="58" s="1"/>
  <c r="D232" i="58" s="1"/>
  <c r="B175" i="58"/>
  <c r="B169" i="58"/>
  <c r="B228" i="58" s="1"/>
  <c r="D228" i="58" s="1"/>
  <c r="B167" i="58"/>
  <c r="B227" i="58" s="1"/>
  <c r="D227" i="58" s="1"/>
  <c r="B165" i="58"/>
  <c r="B226" i="58" s="1"/>
  <c r="D226" i="58" s="1"/>
  <c r="B163" i="58"/>
  <c r="B225" i="58" s="1"/>
  <c r="D225" i="58" s="1"/>
  <c r="B160" i="58"/>
  <c r="B224" i="58" s="1"/>
  <c r="D224" i="58" s="1"/>
  <c r="B122" i="58"/>
  <c r="E108" i="58"/>
  <c r="E105" i="58"/>
  <c r="E103" i="58"/>
  <c r="B73" i="58"/>
  <c r="B190" i="58" s="1"/>
  <c r="B238" i="58" s="1"/>
  <c r="D238" i="58" s="1"/>
  <c r="B57" i="58"/>
  <c r="B124" i="58" s="1"/>
  <c r="B41" i="58"/>
  <c r="B94" i="58" s="1"/>
  <c r="B115" i="58"/>
  <c r="B341" i="58" l="1"/>
  <c r="B360" i="58"/>
  <c r="B363" i="58" s="1"/>
  <c r="D234" i="58"/>
  <c r="D241" i="58"/>
  <c r="B339" i="58"/>
  <c r="B128" i="58"/>
  <c r="B144" i="58"/>
  <c r="B187" i="58"/>
  <c r="B237" i="58" s="1"/>
  <c r="D237" i="58" s="1"/>
  <c r="B147" i="58"/>
  <c r="B310" i="58"/>
  <c r="B138" i="58"/>
  <c r="B212" i="58" s="1"/>
  <c r="D212" i="58" s="1"/>
  <c r="B351" i="58" l="1"/>
  <c r="B352" i="58"/>
  <c r="A220" i="58"/>
  <c r="C220" i="58" s="1"/>
  <c r="A210" i="58"/>
  <c r="C210" i="58" s="1"/>
  <c r="D242" i="58"/>
  <c r="B26" i="58"/>
  <c r="B161" i="58"/>
  <c r="B353" i="58" l="1"/>
  <c r="B72" i="58"/>
  <c r="B75" i="58" s="1"/>
  <c r="B79" i="58" s="1"/>
  <c r="B162" i="58"/>
  <c r="B181" i="58"/>
  <c r="B193" i="58"/>
  <c r="B188" i="58" s="1"/>
  <c r="B189" i="58" s="1"/>
  <c r="B98" i="58" l="1"/>
  <c r="B32" i="58"/>
  <c r="B45" i="58"/>
  <c r="B23" i="58"/>
  <c r="B29" i="58"/>
  <c r="B195" i="58"/>
  <c r="B196" i="58" s="1"/>
  <c r="B191" i="58"/>
  <c r="B183" i="58"/>
  <c r="B184" i="58" s="1"/>
  <c r="B74" i="58"/>
  <c r="B78" i="58" s="1"/>
  <c r="B48" i="58" l="1"/>
  <c r="B49" i="58" s="1"/>
  <c r="B91" i="58"/>
  <c r="B76" i="58"/>
  <c r="B81" i="58"/>
  <c r="E81" i="58" s="1"/>
  <c r="B92" i="58"/>
  <c r="B86" i="58"/>
  <c r="E86" i="58" s="1"/>
  <c r="B150" i="58"/>
  <c r="B151" i="58" s="1"/>
  <c r="B153" i="58" s="1"/>
  <c r="B20" i="58"/>
  <c r="B93" i="58" l="1"/>
  <c r="B97" i="58"/>
  <c r="B312" i="58" s="1"/>
  <c r="B321" i="58" s="1"/>
  <c r="B80" i="58"/>
  <c r="B87" i="58" s="1"/>
  <c r="E87" i="58" s="1"/>
  <c r="B99" i="58"/>
  <c r="B113" i="58" s="1"/>
  <c r="B77" i="58"/>
  <c r="B308" i="58"/>
  <c r="B95" i="58"/>
  <c r="B198" i="58" s="1"/>
  <c r="B85" i="58"/>
  <c r="E85" i="58" s="1"/>
  <c r="B84" i="58"/>
  <c r="E84" i="58" s="1"/>
  <c r="B215" i="58"/>
  <c r="D215" i="58" s="1"/>
  <c r="B217" i="58"/>
  <c r="D217" i="58" s="1"/>
  <c r="B307" i="58"/>
  <c r="B313" i="58" l="1"/>
  <c r="B323" i="58" s="1"/>
  <c r="B112" i="58"/>
  <c r="E112" i="58"/>
  <c r="B51" i="58"/>
  <c r="B52" i="58" s="1"/>
  <c r="B146" i="58"/>
  <c r="B152" i="58" s="1"/>
  <c r="B216" i="58" s="1"/>
  <c r="D216" i="58" s="1"/>
  <c r="B155" i="58"/>
  <c r="B82" i="58"/>
  <c r="B200" i="58"/>
  <c r="B201" i="58" s="1"/>
  <c r="B168" i="58"/>
  <c r="B56" i="58" l="1"/>
  <c r="B154" i="58"/>
  <c r="B218" i="58" s="1"/>
  <c r="D218" i="58" s="1"/>
  <c r="B156" i="58"/>
  <c r="B219" i="58" s="1"/>
  <c r="D219" i="58" s="1"/>
  <c r="B149" i="58"/>
  <c r="B157" i="58" s="1"/>
  <c r="B220" i="58" s="1"/>
  <c r="D220" i="58" s="1"/>
  <c r="B53" i="58"/>
  <c r="B58" i="58" s="1"/>
  <c r="B59" i="58" s="1"/>
  <c r="B61" i="58" s="1"/>
  <c r="D221" i="58" l="1"/>
  <c r="D222" i="58" s="1"/>
  <c r="B54" i="58"/>
  <c r="B55" i="58"/>
  <c r="B166" i="58" s="1"/>
  <c r="B129" i="58"/>
  <c r="B131" i="58" s="1"/>
  <c r="B132" i="58"/>
  <c r="B173" i="58"/>
  <c r="B137" i="58"/>
  <c r="B210" i="58" s="1"/>
  <c r="D210" i="58" s="1"/>
  <c r="B205" i="58" l="1"/>
  <c r="D205" i="58" s="1"/>
  <c r="B134" i="58"/>
  <c r="B207" i="58" s="1"/>
  <c r="D207" i="58" s="1"/>
  <c r="B176" i="58"/>
  <c r="B230" i="58" s="1"/>
  <c r="D230" i="58" s="1"/>
  <c r="B229" i="58"/>
  <c r="D229" i="58" s="1"/>
  <c r="B164" i="58"/>
  <c r="B130" i="58"/>
  <c r="E59" i="58" l="1"/>
  <c r="E61" i="58"/>
  <c r="B309" i="58"/>
  <c r="B136" i="58"/>
  <c r="B209" i="58" s="1"/>
  <c r="D209" i="58" s="1"/>
  <c r="B133" i="58"/>
  <c r="B206" i="58" l="1"/>
  <c r="D206" i="58" s="1"/>
  <c r="B135" i="58"/>
  <c r="B208" i="58" s="1"/>
  <c r="D208" i="58" s="1"/>
  <c r="B316" i="58"/>
  <c r="B317" i="58" s="1"/>
  <c r="B318" i="58"/>
  <c r="B319" i="58" s="1"/>
  <c r="D211" i="58" l="1"/>
  <c r="B324" i="58"/>
  <c r="B325" i="58" s="1"/>
  <c r="B326" i="58" s="1"/>
  <c r="B327" i="58"/>
  <c r="B328" i="58" s="1"/>
  <c r="B329" i="58" s="1"/>
  <c r="B357" i="58" l="1"/>
  <c r="B171" i="58" s="1"/>
  <c r="B364" i="58"/>
  <c r="B170" i="58" s="1"/>
  <c r="B358" i="58"/>
  <c r="B359" i="58" s="1"/>
  <c r="B177" i="58" l="1"/>
  <c r="B174" i="58"/>
  <c r="B179" i="58"/>
  <c r="B231" i="58" s="1"/>
  <c r="D231" i="58" s="1"/>
  <c r="D235" i="58" l="1"/>
  <c r="D213" i="58" l="1"/>
  <c r="B244" i="5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LOPEZ MONLLOR CARLOS</author>
    <author>Ana Tejero Andrés</author>
  </authors>
  <commentList>
    <comment ref="A6" authorId="0" shapeId="0" xr:uid="{A7A9A86A-023A-4383-9336-F1492E84C3C1}">
      <text>
        <r>
          <rPr>
            <sz val="11"/>
            <color theme="1"/>
            <rFont val="Calibri"/>
            <family val="2"/>
            <scheme val="minor"/>
          </rPr>
          <t xml:space="preserve">Se definen dos escenarios:
- Época seca
- Época de lluvias
La diferencia entre ambos es que en época de lluvias se consideran las conexiones erradas y en época seca no.
Para cada uno de los escenarios se definen los siguientes caudales
- Caudal mínimo
- Caudal medio
- Caudal máximo
A efectos de diseño se consideran:
- Qmin: el caudal mínimo en época seca
- Qm: el caudal medio en época de lluvias
-Qp: el caudal máximo en época de lluvias
</t>
        </r>
      </text>
    </comment>
    <comment ref="A9" authorId="1" shapeId="0" xr:uid="{E5F6EFC6-B32C-4A6E-A28D-E4EEDC4B4F4D}">
      <text>
        <r>
          <rPr>
            <b/>
            <sz val="9"/>
            <color indexed="81"/>
            <rFont val="Tahoma"/>
            <family val="2"/>
          </rPr>
          <t xml:space="preserve">= Qpd + Qinf + Qerr (CD)
</t>
        </r>
        <r>
          <rPr>
            <sz val="9"/>
            <color indexed="81"/>
            <rFont val="Tahoma"/>
            <family val="2"/>
          </rPr>
          <t xml:space="preserve">
Qpd= caudal punta domestico
Qinf= caudal infiltración
Qerr= caudal conexiones erradas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CEDEX</author>
    <author>TEJERO ANDRES ANA</author>
    <author>LOPEZ MONLLOR CARLOS</author>
    <author>Ana Tejero Andrés</author>
  </authors>
  <commentList>
    <comment ref="D36" authorId="0" shapeId="0" xr:uid="{24528A9F-6E87-404A-B7AC-7F6061BD6A1C}">
      <text>
        <r>
          <rPr>
            <sz val="9"/>
            <color indexed="81"/>
            <rFont val="Tahoma"/>
            <family val="2"/>
          </rPr>
          <t>Para más detalle ver tabla complementaria, al final de la hoja</t>
        </r>
      </text>
    </comment>
    <comment ref="B45" authorId="1" shapeId="0" xr:uid="{B953708E-98A6-425A-BDCF-DD44B898D277}">
      <text>
        <r>
          <rPr>
            <sz val="11"/>
            <color theme="1"/>
            <rFont val="Calibri"/>
            <family val="2"/>
            <scheme val="minor"/>
          </rPr>
          <t>Producción de lodos calculada según el procedimiento defindo en la norma ATV (ATV).</t>
        </r>
      </text>
    </comment>
    <comment ref="B94" authorId="2" shapeId="0" xr:uid="{8A90E474-BDA5-4FE7-ADE4-2D5E00CBA740}">
      <text>
        <r>
          <rPr>
            <sz val="11"/>
            <color theme="1"/>
            <rFont val="Calibri"/>
            <family val="2"/>
            <scheme val="minor"/>
          </rPr>
          <t xml:space="preserve">Balance de masas teniendo en cuenta la recirculación. El 0,9 es por reducir un poco el doble (se considera el doble de concentración que los MLSS), ya que el rendimiento no es del 100% </t>
        </r>
      </text>
    </comment>
    <comment ref="A100" authorId="3" shapeId="0" xr:uid="{761FA544-BD9C-4600-BB38-06A6646CC188}">
      <text>
        <r>
          <rPr>
            <sz val="11"/>
            <color theme="1"/>
            <rFont val="Calibri"/>
            <family val="2"/>
            <scheme val="minor"/>
          </rPr>
          <t xml:space="preserve">= frecuencia de extracción de lodos
</t>
        </r>
      </text>
    </comment>
    <comment ref="B100" authorId="2" shapeId="0" xr:uid="{7B4EABBB-180E-4158-8186-E81F85647AF0}">
      <text>
        <r>
          <rPr>
            <sz val="11"/>
            <color theme="1"/>
            <rFont val="Calibri"/>
            <family val="2"/>
            <scheme val="minor"/>
          </rPr>
          <t>Aunque se considera una extracción de lodos continua a efectos de cálculo se considerará una frecuencia de descarga (=intervalo de descargas) de 1 día</t>
        </r>
      </text>
    </comment>
    <comment ref="B113" authorId="0" shapeId="0" xr:uid="{67037356-CB19-475E-A443-0FD61537F184}">
      <text>
        <r>
          <rPr>
            <sz val="9"/>
            <color indexed="81"/>
            <rFont val="Tahoma"/>
            <family val="2"/>
          </rPr>
          <t>Cuando hay eliminación de fósforo se calcula en función del balance de masa considerando que la concentración de salida de fósforo será la que marque la normativa</t>
        </r>
      </text>
    </comment>
    <comment ref="B115" authorId="3" shapeId="0" xr:uid="{EDCFBCBC-10B2-46B8-9A7F-154193A0A780}">
      <text>
        <r>
          <rPr>
            <sz val="9"/>
            <color indexed="81"/>
            <rFont val="Tahoma"/>
            <family val="2"/>
          </rPr>
          <t>Fórmula solamente apta para valores de 0,5 Ulog y números enteros Ulog</t>
        </r>
      </text>
    </comment>
    <comment ref="A121" authorId="1" shapeId="0" xr:uid="{AF441A4E-5A07-4523-935B-4FDC18385CCD}">
      <text>
        <r>
          <rPr>
            <sz val="11"/>
            <color theme="1"/>
            <rFont val="Calibri"/>
            <family val="2"/>
            <scheme val="minor"/>
          </rPr>
          <t xml:space="preserve">unidades preparadas para entrar en funcionamiento en fases futuros, es decir unidades a las que se construye la obra civil, pero que no se incorporan equipos electromecánicos.
</t>
        </r>
      </text>
    </comment>
    <comment ref="A122" authorId="1" shapeId="0" xr:uid="{E7A8DD91-2E89-49FE-96B4-117009FDAB3E}">
      <text>
        <r>
          <rPr>
            <sz val="11"/>
            <color theme="1"/>
            <rFont val="Calibri"/>
            <family val="2"/>
            <scheme val="minor"/>
          </rPr>
          <t>Nº unidades para las que se construye la obra civil:
Nº Uds en funcionamiento + Nº Uds para fases futuras</t>
        </r>
      </text>
    </comment>
    <comment ref="D130" authorId="2" shapeId="0" xr:uid="{E8CCC048-39C3-4E74-96CE-7CBB704897E1}">
      <text>
        <r>
          <rPr>
            <sz val="11"/>
            <color theme="1"/>
            <rFont val="Calibri"/>
            <family val="2"/>
            <scheme val="minor"/>
          </rPr>
          <t>Número de zonas (CD):
Sin elim P: 3 (anóxica-facultativa-óxica)
Con elim P: 4 (anaerobia-anóxica-facultativa-óxica)</t>
        </r>
      </text>
    </comment>
    <comment ref="A143" authorId="1" shapeId="0" xr:uid="{3940BDFB-323B-4A8B-9450-26A1C16AF0B7}">
      <text>
        <r>
          <rPr>
            <sz val="11"/>
            <color theme="1"/>
            <rFont val="Calibri"/>
            <family val="2"/>
            <scheme val="minor"/>
          </rPr>
          <t xml:space="preserve">unidades preparadas para entrar en funcionamiento en fases futuras, es decir unidades a las que se construye la obra civil, pero que no se incorporan equipos electromecánicos.
</t>
        </r>
      </text>
    </comment>
    <comment ref="A144" authorId="1" shapeId="0" xr:uid="{0ED16680-9A18-4BC8-95D7-FB6DD30878A2}">
      <text>
        <r>
          <rPr>
            <sz val="11"/>
            <color theme="1"/>
            <rFont val="Calibri"/>
            <family val="2"/>
            <scheme val="minor"/>
          </rPr>
          <t>Nº unidades para las que se construye la obra civil:
Nº Uds en funcionamiento + Nº Uds para fases futuras</t>
        </r>
      </text>
    </comment>
    <comment ref="B188" authorId="2" shapeId="0" xr:uid="{9DF8E875-AA04-42EC-92C0-B6BD80CC21C6}">
      <text>
        <r>
          <rPr>
            <sz val="11"/>
            <color theme="1"/>
            <rFont val="Calibri"/>
            <family val="2"/>
            <scheme val="minor"/>
          </rPr>
          <t>Caudal máximo + caudal recirculación</t>
        </r>
      </text>
    </comment>
    <comment ref="B198" authorId="3" shapeId="0" xr:uid="{50D51308-55DB-4311-AB89-A86C3B1080DD}">
      <text>
        <r>
          <rPr>
            <sz val="9"/>
            <color indexed="81"/>
            <rFont val="Tahoma"/>
            <family val="2"/>
          </rPr>
          <t xml:space="preserve">el caudal de diseño del bombeo se considera el doble del caudal promedio de generación de lodos
</t>
        </r>
      </text>
    </comment>
    <comment ref="A231" authorId="2" shapeId="0" xr:uid="{607CB641-26E5-48EF-A974-F79B9E876C91}">
      <text>
        <r>
          <rPr>
            <sz val="11"/>
            <color theme="1"/>
            <rFont val="Calibri"/>
            <family val="2"/>
            <scheme val="minor"/>
          </rPr>
          <t xml:space="preserve">ncluidos en el coste las parrillas de difusores y las bajantes
</t>
        </r>
      </text>
    </comment>
    <comment ref="B273" authorId="0" shapeId="0" xr:uid="{2C82766A-3E52-4342-B744-834D5F27A68D}">
      <text>
        <r>
          <rPr>
            <sz val="9"/>
            <color indexed="81"/>
            <rFont val="Tahoma"/>
            <family val="2"/>
          </rPr>
          <t>=20*1,072^(12-T)</t>
        </r>
      </text>
    </comment>
    <comment ref="C273" authorId="0" shapeId="0" xr:uid="{BA924D0F-69E1-4633-9ECE-80B7CC3289A4}">
      <text>
        <r>
          <rPr>
            <sz val="9"/>
            <color indexed="81"/>
            <rFont val="Tahoma"/>
            <family val="2"/>
          </rPr>
          <t>=25*1,072^(12-G36)</t>
        </r>
      </text>
    </comment>
    <comment ref="A307" authorId="1" shapeId="0" xr:uid="{18B28B23-7222-4834-A4A5-AAB1132F3362}">
      <text>
        <r>
          <rPr>
            <sz val="11"/>
            <color theme="1"/>
            <rFont val="Calibri"/>
            <family val="2"/>
            <scheme val="minor"/>
          </rPr>
          <t xml:space="preserve">Volumen aireado, no el volumen total
</t>
        </r>
      </text>
    </comment>
    <comment ref="B312" authorId="2" shapeId="0" xr:uid="{B25CD861-CEBB-4EE1-B4DB-2E9DD7E61C47}">
      <text>
        <r>
          <rPr>
            <sz val="11"/>
            <color theme="1"/>
            <rFont val="Calibri"/>
            <family val="2"/>
            <scheme val="minor"/>
          </rPr>
          <t>NTKe - NTKs</t>
        </r>
      </text>
    </comment>
    <comment ref="B313" authorId="2" shapeId="0" xr:uid="{CB11ACE1-FED2-4F0E-A70C-7EAE01A26752}">
      <text>
        <r>
          <rPr>
            <sz val="11"/>
            <color theme="1"/>
            <rFont val="Calibri"/>
            <family val="2"/>
            <scheme val="minor"/>
          </rPr>
          <t>NTKe - N contenido en el lodo -NTs</t>
        </r>
      </text>
    </comment>
    <comment ref="A334" authorId="2" shapeId="0" xr:uid="{9E3B78B6-871E-4C0B-B323-C8FA31FE4C6C}">
      <text>
        <r>
          <rPr>
            <sz val="11"/>
            <color theme="1"/>
            <rFont val="Calibri"/>
            <family val="2"/>
            <scheme val="minor"/>
          </rPr>
          <t>Dependiente de los siguientes factores que tendrán efecto en la laminación de la entradas a la PTAR:
- Lo grande que sea la red de saneamiento
- Los bombeos que haya en la red de saneamiento y a la entrada de la PTAR</t>
        </r>
      </text>
    </comment>
    <comment ref="D334" authorId="3" shapeId="0" xr:uid="{D1B5D1C8-62BF-44A6-8C1B-46DE32517547}">
      <text>
        <r>
          <rPr>
            <b/>
            <sz val="9"/>
            <color indexed="81"/>
            <rFont val="Tahoma"/>
            <family val="2"/>
          </rPr>
          <t>Utilizar el valor más alto para plantas pequeñas, y viceversa</t>
        </r>
        <r>
          <rPr>
            <sz val="9"/>
            <color indexed="81"/>
            <rFont val="Tahoma"/>
            <family val="2"/>
          </rPr>
          <t xml:space="preserve">
</t>
        </r>
      </text>
    </comment>
    <comment ref="A346" authorId="0" shapeId="0" xr:uid="{63D5EF38-DED9-43CC-8C2B-0767BCCC3F73}">
      <text>
        <r>
          <rPr>
            <sz val="9"/>
            <color indexed="81"/>
            <rFont val="Tahoma"/>
            <family val="2"/>
          </rPr>
          <t>incluido con respecto a la referencia original, que no lo considera (CEDEX T 27 p 65)</t>
        </r>
      </text>
    </comment>
    <comment ref="B356" authorId="2" shapeId="0" xr:uid="{3636FE81-BD79-4F73-9EFA-0FB4EAD67372}">
      <text>
        <r>
          <rPr>
            <sz val="11"/>
            <color theme="1"/>
            <rFont val="Calibri"/>
            <family val="2"/>
            <scheme val="minor"/>
          </rPr>
          <t>Correspondiente a dividir el aporte específico kg O2/kWh entre el rendimiento del motoreductor (%). De este modo el resultado es en potencia</t>
        </r>
      </text>
    </comment>
    <comment ref="B360" authorId="0" shapeId="0" xr:uid="{EAA7DD6E-7A2D-417C-B08D-1B38AB6F68F7}">
      <text>
        <r>
          <rPr>
            <sz val="9"/>
            <color indexed="81"/>
            <rFont val="Tahoma"/>
            <family val="2"/>
          </rPr>
          <t>https://es.wikipedia.org/wiki/Densidad_del_aire
http://www.fullmecanica.com/definiciones/d/285-densidad-del-aire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Tejero Andrés</author>
    <author>TEJERO ANDRES ANA</author>
  </authors>
  <commentList>
    <comment ref="A45" authorId="0" shapeId="0" xr:uid="{5E1BE2D5-C20B-469B-95F4-F0265B99BAF2}">
      <text>
        <r>
          <rPr>
            <sz val="9"/>
            <color indexed="81"/>
            <rFont val="Tahoma"/>
            <family val="2"/>
          </rPr>
          <t xml:space="preserve">Incluye la campana tranquilizadora
</t>
        </r>
      </text>
    </comment>
    <comment ref="A78" authorId="0" shapeId="0" xr:uid="{DE048E70-18F1-4343-ABE6-F048AF701AEF}">
      <text>
        <r>
          <rPr>
            <sz val="9"/>
            <color indexed="81"/>
            <rFont val="Tahoma"/>
            <family val="2"/>
          </rPr>
          <t xml:space="preserve">4 m3/h, discos de 9"
</t>
        </r>
      </text>
    </comment>
    <comment ref="A136" authorId="0" shapeId="0" xr:uid="{71492ACE-589F-41BB-A36F-C26C551FB58B}">
      <text>
        <r>
          <rPr>
            <sz val="9"/>
            <color indexed="81"/>
            <rFont val="Tahoma"/>
            <family val="2"/>
          </rPr>
          <t xml:space="preserve">Superficie específica 100-200 m2/m3
</t>
        </r>
      </text>
    </comment>
    <comment ref="A137" authorId="0" shapeId="0" xr:uid="{7F0C7B4A-B4CB-4710-9539-445F912463D2}">
      <text>
        <r>
          <rPr>
            <sz val="9"/>
            <color indexed="81"/>
            <rFont val="Tahoma"/>
            <family val="2"/>
          </rPr>
          <t xml:space="preserve">4-6 cm
</t>
        </r>
      </text>
    </comment>
    <comment ref="A164" authorId="1" shapeId="0" xr:uid="{DB17A5F7-0D6F-4834-9015-BD5B423D6EA7}">
      <text>
        <r>
          <rPr>
            <sz val="11"/>
            <color theme="1"/>
            <rFont val="Calibri"/>
            <family val="2"/>
            <scheme val="minor"/>
          </rPr>
          <t xml:space="preserve">Costes asociados: pintura, componenetes metálicos ...
</t>
        </r>
      </text>
    </comment>
    <comment ref="A165" authorId="0" shapeId="0" xr:uid="{B937F074-7824-43C0-B348-5138665385AB}">
      <text>
        <r>
          <rPr>
            <sz val="9"/>
            <color indexed="81"/>
            <rFont val="Tahoma"/>
            <family val="2"/>
          </rPr>
          <t xml:space="preserve">incluye campana tranquilizadora, deflector y  bandeja de vertedero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<sst xmlns="http://schemas.openxmlformats.org/spreadsheetml/2006/main" count="1118" uniqueCount="606">
  <si>
    <t>Formato celdas</t>
  </si>
  <si>
    <t>1) Celdas de valor</t>
  </si>
  <si>
    <t>Formato 1</t>
  </si>
  <si>
    <t>Datos introducidos manualmente</t>
  </si>
  <si>
    <t>Formato 2</t>
  </si>
  <si>
    <t>Datos introducidos manualmente, que resultan claves para el funcionamiento de la hoja de cálculo</t>
  </si>
  <si>
    <t>Formato 3</t>
  </si>
  <si>
    <t>Datos que provienen de otra pestaña</t>
  </si>
  <si>
    <t>Formato 4</t>
  </si>
  <si>
    <t>Datos calculados genéricos</t>
  </si>
  <si>
    <t>Formato 5</t>
  </si>
  <si>
    <t>Datos calculados que son los resultados que interesa resaltar del cuadro/subrecuadro/apartado en cuestión</t>
  </si>
  <si>
    <t>2) Celdas de comprobación</t>
  </si>
  <si>
    <t>Se encuentra dentro del rango establecido</t>
  </si>
  <si>
    <t>Se sale del rango establecido</t>
  </si>
  <si>
    <t>Especifica información sobre % de exceso de volumen o superficie con respecto a los mínimos requeridos</t>
  </si>
  <si>
    <t>DATOS GENERALES</t>
  </si>
  <si>
    <t>Valor</t>
  </si>
  <si>
    <t xml:space="preserve">Unidades </t>
  </si>
  <si>
    <t>Recomendaciones y observaciones</t>
  </si>
  <si>
    <t>Comprobaciones</t>
  </si>
  <si>
    <t>Población</t>
  </si>
  <si>
    <t>hab</t>
  </si>
  <si>
    <t>Temperatura media mes más frio agua</t>
  </si>
  <si>
    <t>ºC</t>
  </si>
  <si>
    <t>Temperatura media mes más cálido agua</t>
  </si>
  <si>
    <t>Altitud</t>
  </si>
  <si>
    <t>m.s.n.m</t>
  </si>
  <si>
    <t>CAUDALES</t>
  </si>
  <si>
    <t>Caudal mínimo en época seca (Qmin)</t>
  </si>
  <si>
    <r>
      <t>m</t>
    </r>
    <r>
      <rPr>
        <vertAlign val="superscript"/>
        <sz val="11"/>
        <color theme="1"/>
        <rFont val="Calibri"/>
        <family val="2"/>
        <scheme val="minor"/>
      </rPr>
      <t>3</t>
    </r>
    <r>
      <rPr>
        <sz val="11"/>
        <color theme="1"/>
        <rFont val="Calibri"/>
        <family val="2"/>
        <scheme val="minor"/>
      </rPr>
      <t>/h</t>
    </r>
  </si>
  <si>
    <t>Caudal medio en época de lluvias (Qm)</t>
  </si>
  <si>
    <r>
      <t>m</t>
    </r>
    <r>
      <rPr>
        <vertAlign val="superscript"/>
        <sz val="11"/>
        <color theme="1"/>
        <rFont val="Calibri"/>
        <family val="2"/>
        <scheme val="minor"/>
      </rPr>
      <t>3</t>
    </r>
    <r>
      <rPr>
        <sz val="11"/>
        <color theme="1"/>
        <rFont val="Calibri"/>
        <family val="2"/>
        <scheme val="minor"/>
      </rPr>
      <t>/d</t>
    </r>
  </si>
  <si>
    <t>Caudal punta en época de lluvias (Qp)</t>
  </si>
  <si>
    <t>Caudal máximo que soporta la PTAR</t>
  </si>
  <si>
    <t>Caudal máximo de llegada a la PTAR (Qmax)</t>
  </si>
  <si>
    <t>Se considera el doble del Qp</t>
  </si>
  <si>
    <t>CONCENTRACIONES INFLUENTE A CAUDAL MEDIO</t>
  </si>
  <si>
    <r>
      <t>[DBO</t>
    </r>
    <r>
      <rPr>
        <vertAlign val="subscript"/>
        <sz val="11"/>
        <color theme="1"/>
        <rFont val="Calibri"/>
        <family val="2"/>
        <scheme val="minor"/>
      </rPr>
      <t>5</t>
    </r>
    <r>
      <rPr>
        <sz val="11"/>
        <color theme="1"/>
        <rFont val="Calibri"/>
        <family val="2"/>
        <scheme val="minor"/>
      </rPr>
      <t>]</t>
    </r>
  </si>
  <si>
    <t>mg/L</t>
  </si>
  <si>
    <t>[DQO]</t>
  </si>
  <si>
    <t>[SS]</t>
  </si>
  <si>
    <t>[NT]</t>
  </si>
  <si>
    <t>[PT]</t>
  </si>
  <si>
    <t>[CF]</t>
  </si>
  <si>
    <t>ufc/100 mL</t>
  </si>
  <si>
    <t>CONCENTRACIONES REQUERIDAS EFLUENTE</t>
  </si>
  <si>
    <t>CARACTERÍSTICAS DEL TERRENO Y DE LA RED DE SANEAMIENTO</t>
  </si>
  <si>
    <t>Profundidad de la red de saneamiento</t>
  </si>
  <si>
    <t>m</t>
  </si>
  <si>
    <t>Tipologia del terreno</t>
  </si>
  <si>
    <t>Coeficiente terreno</t>
  </si>
  <si>
    <t>Tierra = 1;  Roca = 2</t>
  </si>
  <si>
    <t>Coeficiente pendiente</t>
  </si>
  <si>
    <t>Llano = 1; Pdte suave = 2; Pdte fuerte = 3</t>
  </si>
  <si>
    <t>Coeficiente nivel freático</t>
  </si>
  <si>
    <t>Bajo = 1; Alto = 2</t>
  </si>
  <si>
    <t>España</t>
  </si>
  <si>
    <t>El Salvador</t>
  </si>
  <si>
    <t>Argentina</t>
  </si>
  <si>
    <t>Bolivia</t>
  </si>
  <si>
    <t>Panama</t>
  </si>
  <si>
    <t>Cuba</t>
  </si>
  <si>
    <t>Si</t>
  </si>
  <si>
    <t>OTROS PARAMETROS REQUERIDOS</t>
  </si>
  <si>
    <t>Número de unidades en funcionamiento</t>
  </si>
  <si>
    <t>Ud</t>
  </si>
  <si>
    <r>
      <t>m</t>
    </r>
    <r>
      <rPr>
        <vertAlign val="superscript"/>
        <sz val="11"/>
        <color theme="1"/>
        <rFont val="Calibri"/>
        <family val="2"/>
        <scheme val="minor"/>
      </rPr>
      <t>2</t>
    </r>
  </si>
  <si>
    <t>Tierra = 1; Roca = 2</t>
  </si>
  <si>
    <t>Llano = 1, Pdte suave = 2, Pdte fuerte =3</t>
  </si>
  <si>
    <t>Bajo = 1; Alto =2</t>
  </si>
  <si>
    <t>Número de unidades para fases futuras</t>
  </si>
  <si>
    <t>Número de unidades a construir</t>
  </si>
  <si>
    <t>Espesor solera</t>
  </si>
  <si>
    <r>
      <rPr>
        <sz val="11"/>
        <color rgb="FF000000"/>
        <rFont val="Calibri"/>
        <family val="2"/>
      </rPr>
      <t xml:space="preserve">≥ 0,3 m </t>
    </r>
    <r>
      <rPr>
        <sz val="11"/>
        <color rgb="FFED7D31"/>
        <rFont val="Calibri"/>
        <family val="2"/>
      </rPr>
      <t>(CD)</t>
    </r>
  </si>
  <si>
    <t>Espesor muros</t>
  </si>
  <si>
    <t>Superficie en planta de obra civil</t>
  </si>
  <si>
    <t>Hormigón solera</t>
  </si>
  <si>
    <r>
      <t>m</t>
    </r>
    <r>
      <rPr>
        <vertAlign val="superscript"/>
        <sz val="11"/>
        <color theme="1"/>
        <rFont val="Calibri"/>
        <family val="2"/>
        <scheme val="minor"/>
      </rPr>
      <t>3</t>
    </r>
  </si>
  <si>
    <t>Hormigón muros</t>
  </si>
  <si>
    <t>Acero</t>
  </si>
  <si>
    <t>kg</t>
  </si>
  <si>
    <t>Encofrado plano</t>
  </si>
  <si>
    <t>COSTOS INVERSIÓN</t>
  </si>
  <si>
    <t>Medición</t>
  </si>
  <si>
    <t>Precio unitario</t>
  </si>
  <si>
    <t xml:space="preserve">Costo </t>
  </si>
  <si>
    <t>Barandillas, accesos, etc</t>
  </si>
  <si>
    <t>Unidades</t>
  </si>
  <si>
    <t>Costo</t>
  </si>
  <si>
    <t>Electricidad</t>
  </si>
  <si>
    <t>COSTO TOTAL</t>
  </si>
  <si>
    <t>Costo total inversión</t>
  </si>
  <si>
    <t>REFERENCIAS</t>
  </si>
  <si>
    <t>DATOS  DE DISEÑO</t>
  </si>
  <si>
    <t>Carga superficial a Qp</t>
  </si>
  <si>
    <t>Relación L/A</t>
  </si>
  <si>
    <r>
      <rPr>
        <sz val="11"/>
        <color rgb="FF000000"/>
        <rFont val="Calibri"/>
        <family val="2"/>
      </rPr>
      <t xml:space="preserve">= 1 </t>
    </r>
    <r>
      <rPr>
        <sz val="11"/>
        <color rgb="FFED7D31"/>
        <rFont val="Calibri"/>
        <family val="2"/>
      </rPr>
      <t>(CD)</t>
    </r>
  </si>
  <si>
    <t>Superficie útil en funcionamiento</t>
  </si>
  <si>
    <r>
      <t>m</t>
    </r>
    <r>
      <rPr>
        <b/>
        <vertAlign val="superscript"/>
        <sz val="11"/>
        <color theme="1"/>
        <rFont val="Calibri"/>
        <family val="2"/>
        <scheme val="minor"/>
      </rPr>
      <t>2</t>
    </r>
  </si>
  <si>
    <t>Volumen útil en funcionamiento</t>
  </si>
  <si>
    <r>
      <t>m</t>
    </r>
    <r>
      <rPr>
        <b/>
        <vertAlign val="superscript"/>
        <sz val="11"/>
        <color theme="1"/>
        <rFont val="Calibri"/>
        <family val="2"/>
        <scheme val="minor"/>
      </rPr>
      <t>3</t>
    </r>
  </si>
  <si>
    <t>Carga superficial a Qm</t>
  </si>
  <si>
    <t>PRODUCCIONES</t>
  </si>
  <si>
    <t>Profundidad de excavación</t>
  </si>
  <si>
    <t>Hormigón arquetas</t>
  </si>
  <si>
    <t>Excavación</t>
  </si>
  <si>
    <t>m Փ</t>
  </si>
  <si>
    <r>
      <rPr>
        <sz val="11"/>
        <color rgb="FF000000"/>
        <rFont val="Calibri"/>
        <family val="2"/>
      </rPr>
      <t>Velocidad ≤ 1 m/s</t>
    </r>
    <r>
      <rPr>
        <sz val="11"/>
        <color rgb="FFED7D31"/>
        <rFont val="Calibri"/>
        <family val="2"/>
      </rPr>
      <t xml:space="preserve"> (CD)</t>
    </r>
  </si>
  <si>
    <t>m ancho</t>
  </si>
  <si>
    <t>m alto</t>
  </si>
  <si>
    <t>CRITERIOS DE MODULACIÓN Y DISEÑO ADICIONALES A LOS INDICADOS EN LAS RECOMENDACIONES DE DISEÑO</t>
  </si>
  <si>
    <t>CRITERIOS Y APROXIMACIONES CONSTRUCTIVAS  ADICIONALES A LOS INDICADOS EN LAS RECOMENDACIONES DE DISEÑO</t>
  </si>
  <si>
    <t>Las compuertas tienen un ancho mínimo de 0,3 m y  se diseñan para una velocidad ≤ 1 m/s</t>
  </si>
  <si>
    <t>Recomendaciones diseño</t>
  </si>
  <si>
    <t>m2</t>
  </si>
  <si>
    <t>Anchura adoptada (A)</t>
  </si>
  <si>
    <t>kW</t>
  </si>
  <si>
    <t>Longitud adoptada (L)</t>
  </si>
  <si>
    <t>Altura adoptada (H)</t>
  </si>
  <si>
    <t>kg/d</t>
  </si>
  <si>
    <t>Altura obra civil</t>
  </si>
  <si>
    <t>Longitud</t>
  </si>
  <si>
    <t>Altura</t>
  </si>
  <si>
    <t>m/h</t>
  </si>
  <si>
    <t>Hormigón relleno</t>
  </si>
  <si>
    <t>m longitud</t>
  </si>
  <si>
    <r>
      <t>Nm</t>
    </r>
    <r>
      <rPr>
        <vertAlign val="superscript"/>
        <sz val="11"/>
        <color theme="1"/>
        <rFont val="Calibri"/>
        <family val="2"/>
        <scheme val="minor"/>
      </rPr>
      <t>3</t>
    </r>
    <r>
      <rPr>
        <sz val="11"/>
        <color theme="1"/>
        <rFont val="Calibri"/>
        <family val="2"/>
        <scheme val="minor"/>
      </rPr>
      <t>/h</t>
    </r>
  </si>
  <si>
    <t>mayoración potencia</t>
  </si>
  <si>
    <t>Superficie mínima necesaria</t>
  </si>
  <si>
    <t>Anchura</t>
  </si>
  <si>
    <t>h</t>
  </si>
  <si>
    <t>DIMENSIONAMIENTO REACTOR</t>
  </si>
  <si>
    <t>Lodos</t>
  </si>
  <si>
    <t>Producción lodos</t>
  </si>
  <si>
    <t>Producción lodos específica</t>
  </si>
  <si>
    <t>Concentración lodos</t>
  </si>
  <si>
    <t>Caudal producción de lodos</t>
  </si>
  <si>
    <r>
      <rPr>
        <sz val="11"/>
        <color rgb="FF000000"/>
        <rFont val="Calibri"/>
        <family val="2"/>
      </rPr>
      <t>NT eliminada por DBO</t>
    </r>
    <r>
      <rPr>
        <vertAlign val="subscript"/>
        <sz val="11"/>
        <color rgb="FF000000"/>
        <rFont val="Calibri"/>
        <family val="2"/>
      </rPr>
      <t>5</t>
    </r>
    <r>
      <rPr>
        <sz val="11"/>
        <color rgb="FF000000"/>
        <rFont val="Calibri"/>
        <family val="2"/>
      </rPr>
      <t xml:space="preserve"> eliminada</t>
    </r>
  </si>
  <si>
    <r>
      <rPr>
        <sz val="11"/>
        <color rgb="FF000000"/>
        <rFont val="Calibri"/>
        <family val="2"/>
      </rPr>
      <t>g NT/g DBO</t>
    </r>
    <r>
      <rPr>
        <vertAlign val="subscript"/>
        <sz val="11"/>
        <color rgb="FF000000"/>
        <rFont val="Calibri"/>
        <family val="2"/>
      </rPr>
      <t>5</t>
    </r>
    <r>
      <rPr>
        <sz val="11"/>
        <color rgb="FF000000"/>
        <rFont val="Calibri"/>
        <family val="2"/>
      </rPr>
      <t xml:space="preserve"> elim</t>
    </r>
  </si>
  <si>
    <t>Contenido de NT en lodo</t>
  </si>
  <si>
    <t>g NT/g m.s.</t>
  </si>
  <si>
    <r>
      <t>PT eliminada por DBO</t>
    </r>
    <r>
      <rPr>
        <vertAlign val="subscript"/>
        <sz val="11"/>
        <color rgb="FF000000"/>
        <rFont val="Calibri"/>
        <family val="2"/>
      </rPr>
      <t>5</t>
    </r>
    <r>
      <rPr>
        <sz val="11"/>
        <color rgb="FF000000"/>
        <rFont val="Calibri"/>
        <family val="2"/>
      </rPr>
      <t xml:space="preserve"> eliminada</t>
    </r>
  </si>
  <si>
    <r>
      <rPr>
        <sz val="11"/>
        <color rgb="FF000000"/>
        <rFont val="Calibri"/>
        <family val="2"/>
      </rPr>
      <t>g PT/g DBO</t>
    </r>
    <r>
      <rPr>
        <vertAlign val="subscript"/>
        <sz val="11"/>
        <color rgb="FF000000"/>
        <rFont val="Calibri"/>
        <family val="2"/>
      </rPr>
      <t>5</t>
    </r>
    <r>
      <rPr>
        <sz val="11"/>
        <color rgb="FF000000"/>
        <rFont val="Calibri"/>
        <family val="2"/>
      </rPr>
      <t xml:space="preserve"> elim</t>
    </r>
  </si>
  <si>
    <t>Contenido de PT en lodo</t>
  </si>
  <si>
    <t>g PT/g m.s.</t>
  </si>
  <si>
    <t>d</t>
  </si>
  <si>
    <t>Intervalo de descargas real</t>
  </si>
  <si>
    <t>AGUA SALIDA PROCESO</t>
  </si>
  <si>
    <r>
      <rPr>
        <sz val="11"/>
        <color rgb="FF000000"/>
        <rFont val="Calibri"/>
        <family val="2"/>
      </rPr>
      <t>[DBO</t>
    </r>
    <r>
      <rPr>
        <vertAlign val="subscript"/>
        <sz val="11"/>
        <color rgb="FF000000"/>
        <rFont val="Calibri"/>
        <family val="2"/>
      </rPr>
      <t>5</t>
    </r>
    <r>
      <rPr>
        <sz val="11"/>
        <color rgb="FF000000"/>
        <rFont val="Calibri"/>
        <family val="2"/>
      </rPr>
      <t>]</t>
    </r>
    <r>
      <rPr>
        <vertAlign val="subscript"/>
        <sz val="11"/>
        <color rgb="FF000000"/>
        <rFont val="Calibri"/>
        <family val="2"/>
      </rPr>
      <t>s</t>
    </r>
  </si>
  <si>
    <r>
      <rPr>
        <sz val="11"/>
        <color rgb="FF000000"/>
        <rFont val="Calibri"/>
        <family val="2"/>
      </rPr>
      <t>relación DBO</t>
    </r>
    <r>
      <rPr>
        <vertAlign val="subscript"/>
        <sz val="11"/>
        <color rgb="FF000000"/>
        <rFont val="Calibri"/>
        <family val="2"/>
      </rPr>
      <t>5</t>
    </r>
    <r>
      <rPr>
        <sz val="11"/>
        <color rgb="FF000000"/>
        <rFont val="Calibri"/>
        <family val="2"/>
      </rPr>
      <t>/DQO</t>
    </r>
  </si>
  <si>
    <t>ULog</t>
  </si>
  <si>
    <t>Resguardo obra civil</t>
  </si>
  <si>
    <r>
      <rPr>
        <sz val="11"/>
        <color rgb="FF000000"/>
        <rFont val="Calibri"/>
        <family val="2"/>
      </rPr>
      <t xml:space="preserve">≥ 0,5 m (NF bajo); ≥ 1 m (NF alto) </t>
    </r>
    <r>
      <rPr>
        <sz val="11"/>
        <color rgb="FFED7D31"/>
        <rFont val="Calibri"/>
        <family val="2"/>
      </rPr>
      <t>(CD)</t>
    </r>
  </si>
  <si>
    <r>
      <t>m</t>
    </r>
    <r>
      <rPr>
        <vertAlign val="superscript"/>
        <sz val="11"/>
        <rFont val="Calibri"/>
        <family val="2"/>
        <scheme val="minor"/>
      </rPr>
      <t>2</t>
    </r>
  </si>
  <si>
    <r>
      <t>Acero para hormigón armado: 120 kg/m</t>
    </r>
    <r>
      <rPr>
        <i/>
        <vertAlign val="superscript"/>
        <sz val="11"/>
        <color theme="1"/>
        <rFont val="Calibri"/>
        <family val="2"/>
        <scheme val="minor"/>
      </rPr>
      <t xml:space="preserve">3 </t>
    </r>
    <r>
      <rPr>
        <i/>
        <sz val="11"/>
        <color theme="1"/>
        <rFont val="Calibri"/>
        <family val="2"/>
        <scheme val="minor"/>
      </rPr>
      <t>hormigón</t>
    </r>
  </si>
  <si>
    <t>CARACTERÍSTICAS BÁSICAS DEL TRATAMIENTO</t>
  </si>
  <si>
    <t>Nitrificación</t>
  </si>
  <si>
    <t>RESULTADOS A OBTENER</t>
  </si>
  <si>
    <r>
      <rPr>
        <sz val="11"/>
        <color rgb="FF000000"/>
        <rFont val="Calibri"/>
        <family val="2"/>
      </rPr>
      <t>DBO</t>
    </r>
    <r>
      <rPr>
        <vertAlign val="subscript"/>
        <sz val="11"/>
        <color rgb="FF000000"/>
        <rFont val="Calibri"/>
        <family val="2"/>
      </rPr>
      <t>5</t>
    </r>
  </si>
  <si>
    <t>rdto requerido</t>
  </si>
  <si>
    <t>kg a eliminar/d</t>
  </si>
  <si>
    <t>DQO</t>
  </si>
  <si>
    <t>SS</t>
  </si>
  <si>
    <t>DISEÑO DECANTADOR SECUNDARIO</t>
  </si>
  <si>
    <t>PARAMETROS DE DISEÑO DECANTADOR</t>
  </si>
  <si>
    <r>
      <rPr>
        <sz val="11"/>
        <color rgb="FF000000"/>
        <rFont val="Calibri"/>
        <family val="2"/>
      </rPr>
      <t>≤ 1,0 m</t>
    </r>
    <r>
      <rPr>
        <vertAlign val="superscript"/>
        <sz val="11"/>
        <color rgb="FF000000"/>
        <rFont val="Calibri"/>
        <family val="2"/>
      </rPr>
      <t>3</t>
    </r>
    <r>
      <rPr>
        <sz val="11"/>
        <color rgb="FF000000"/>
        <rFont val="Calibri"/>
        <family val="2"/>
      </rPr>
      <t>/m</t>
    </r>
    <r>
      <rPr>
        <vertAlign val="superscript"/>
        <sz val="11"/>
        <color rgb="FF000000"/>
        <rFont val="Calibri"/>
        <family val="2"/>
      </rPr>
      <t>2</t>
    </r>
    <r>
      <rPr>
        <sz val="11"/>
        <color rgb="FF000000"/>
        <rFont val="Calibri"/>
        <family val="2"/>
      </rPr>
      <t xml:space="preserve">/h </t>
    </r>
    <r>
      <rPr>
        <sz val="11"/>
        <color rgb="FFED7D31"/>
        <rFont val="Calibri"/>
        <family val="2"/>
      </rPr>
      <t>(BOL p 512)</t>
    </r>
  </si>
  <si>
    <t>Relacion L/A</t>
  </si>
  <si>
    <t>Pendiente de fondo</t>
  </si>
  <si>
    <r>
      <rPr>
        <sz val="11"/>
        <color rgb="FF000000"/>
        <rFont val="Calibri"/>
        <family val="2"/>
      </rPr>
      <t xml:space="preserve">= 45% </t>
    </r>
    <r>
      <rPr>
        <sz val="11"/>
        <color rgb="FFED7D31"/>
        <rFont val="Calibri"/>
        <family val="2"/>
      </rPr>
      <t>(CD)</t>
    </r>
  </si>
  <si>
    <t>DIMENSIONAMIENTO DECANTADOR</t>
  </si>
  <si>
    <t>Altura del fondo triangular</t>
  </si>
  <si>
    <t>Volumen fondo/s perfil triangular</t>
  </si>
  <si>
    <t>PARAMETROS DE FUNCIONAMIENTO DECANTADOR</t>
  </si>
  <si>
    <t>Carga sobre vertedero a Qp</t>
  </si>
  <si>
    <r>
      <rPr>
        <sz val="11"/>
        <color rgb="FF000000"/>
        <rFont val="Calibri"/>
        <family val="2"/>
      </rPr>
      <t>≤ 12 m</t>
    </r>
    <r>
      <rPr>
        <vertAlign val="superscript"/>
        <sz val="11"/>
        <color rgb="FF000000"/>
        <rFont val="Calibri"/>
        <family val="2"/>
      </rPr>
      <t>3</t>
    </r>
    <r>
      <rPr>
        <sz val="11"/>
        <color rgb="FF000000"/>
        <rFont val="Calibri"/>
        <family val="2"/>
      </rPr>
      <t xml:space="preserve">/ml/h </t>
    </r>
    <r>
      <rPr>
        <sz val="11"/>
        <color rgb="FFED7D31"/>
        <rFont val="Calibri"/>
        <family val="2"/>
      </rPr>
      <t>(CEDEX T 7 p 81)</t>
    </r>
  </si>
  <si>
    <r>
      <rPr>
        <sz val="11"/>
        <color rgb="FF000000"/>
        <rFont val="Calibri"/>
        <family val="2"/>
      </rPr>
      <t>≥ 3,5 m</t>
    </r>
    <r>
      <rPr>
        <sz val="11"/>
        <color rgb="FFED7D31"/>
        <rFont val="Calibri"/>
        <family val="2"/>
      </rPr>
      <t xml:space="preserve"> (CD)</t>
    </r>
  </si>
  <si>
    <t>Producción de lodos</t>
  </si>
  <si>
    <r>
      <rPr>
        <sz val="11"/>
        <color rgb="FF000000"/>
        <rFont val="Calibri"/>
        <family val="2"/>
      </rPr>
      <t>kg DBO</t>
    </r>
    <r>
      <rPr>
        <vertAlign val="subscript"/>
        <sz val="11"/>
        <color rgb="FF000000"/>
        <rFont val="Calibri"/>
        <family val="2"/>
      </rPr>
      <t>5</t>
    </r>
    <r>
      <rPr>
        <sz val="11"/>
        <color rgb="FF000000"/>
        <rFont val="Calibri"/>
        <family val="2"/>
      </rPr>
      <t xml:space="preserve"> elim/d</t>
    </r>
  </si>
  <si>
    <t>rdto</t>
  </si>
  <si>
    <r>
      <rPr>
        <sz val="11"/>
        <color rgb="FF000000"/>
        <rFont val="Calibri"/>
        <family val="2"/>
      </rPr>
      <t>[DQO]</t>
    </r>
    <r>
      <rPr>
        <vertAlign val="subscript"/>
        <sz val="11"/>
        <color rgb="FF000000"/>
        <rFont val="Calibri"/>
        <family val="2"/>
      </rPr>
      <t>s</t>
    </r>
  </si>
  <si>
    <r>
      <rPr>
        <sz val="11"/>
        <color rgb="FF000000"/>
        <rFont val="Calibri"/>
        <family val="2"/>
      </rPr>
      <t>[CF]</t>
    </r>
    <r>
      <rPr>
        <vertAlign val="subscript"/>
        <sz val="11"/>
        <color rgb="FF000000"/>
        <rFont val="Calibri"/>
        <family val="2"/>
      </rPr>
      <t>s</t>
    </r>
  </si>
  <si>
    <t>Encofrado curvo</t>
  </si>
  <si>
    <t>Urbanización</t>
  </si>
  <si>
    <r>
      <rPr>
        <sz val="11"/>
        <color rgb="FF000000"/>
        <rFont val="Calibri"/>
        <family val="2"/>
      </rPr>
      <t xml:space="preserve">= Altura obra civil + espesor solera - 1 m </t>
    </r>
    <r>
      <rPr>
        <sz val="11"/>
        <color rgb="FFED7D31"/>
        <rFont val="Calibri"/>
        <family val="2"/>
      </rPr>
      <t>(CD)</t>
    </r>
    <r>
      <rPr>
        <sz val="11"/>
        <color rgb="FF000000"/>
        <rFont val="Calibri"/>
        <family val="2"/>
      </rPr>
      <t xml:space="preserve"> ≤ 6,5 m </t>
    </r>
    <r>
      <rPr>
        <sz val="11"/>
        <color rgb="FFED7D31"/>
        <rFont val="Calibri"/>
        <family val="2"/>
      </rPr>
      <t>(CD)</t>
    </r>
  </si>
  <si>
    <r>
      <rPr>
        <sz val="11"/>
        <color rgb="FF000000"/>
        <rFont val="Calibri"/>
        <family val="2"/>
      </rPr>
      <t>&gt; 30 m</t>
    </r>
    <r>
      <rPr>
        <vertAlign val="superscript"/>
        <sz val="11"/>
        <color rgb="FF000000"/>
        <rFont val="Calibri"/>
        <family val="2"/>
      </rPr>
      <t>3</t>
    </r>
    <r>
      <rPr>
        <sz val="11"/>
        <color rgb="FF000000"/>
        <rFont val="Calibri"/>
        <family val="2"/>
      </rPr>
      <t>/h = 1,05; 15-30 m</t>
    </r>
    <r>
      <rPr>
        <vertAlign val="superscript"/>
        <sz val="11"/>
        <color rgb="FF000000"/>
        <rFont val="Calibri"/>
        <family val="2"/>
      </rPr>
      <t>3</t>
    </r>
    <r>
      <rPr>
        <sz val="11"/>
        <color rgb="FF000000"/>
        <rFont val="Calibri"/>
        <family val="2"/>
      </rPr>
      <t>/h = 1,10; &lt;15 m</t>
    </r>
    <r>
      <rPr>
        <vertAlign val="superscript"/>
        <sz val="11"/>
        <color rgb="FF000000"/>
        <rFont val="Calibri"/>
        <family val="2"/>
      </rPr>
      <t>3</t>
    </r>
    <r>
      <rPr>
        <sz val="11"/>
        <color rgb="FF000000"/>
        <rFont val="Calibri"/>
        <family val="2"/>
      </rPr>
      <t xml:space="preserve">/h = 1,20 </t>
    </r>
    <r>
      <rPr>
        <sz val="11"/>
        <color rgb="FFED7D31"/>
        <rFont val="Calibri"/>
        <family val="2"/>
      </rPr>
      <t xml:space="preserve">(CD) </t>
    </r>
  </si>
  <si>
    <t>EQUIPOS ELECTROMECÁNICOS DECANTADOR</t>
  </si>
  <si>
    <t>Bombas de purga</t>
  </si>
  <si>
    <r>
      <rPr>
        <sz val="11"/>
        <color rgb="FF000000"/>
        <rFont val="Calibri"/>
        <family val="2"/>
      </rPr>
      <t xml:space="preserve">Una en funcionamiento + una de reserva </t>
    </r>
    <r>
      <rPr>
        <sz val="11"/>
        <color rgb="FFED7D31"/>
        <rFont val="Calibri"/>
        <family val="2"/>
      </rPr>
      <t>(CD)</t>
    </r>
  </si>
  <si>
    <t>OBRA CIVIL DECANTADOR</t>
  </si>
  <si>
    <t>Total obra civil decantador</t>
  </si>
  <si>
    <t>Total equipos electromecánicos decantador</t>
  </si>
  <si>
    <r>
      <t>[DBO</t>
    </r>
    <r>
      <rPr>
        <vertAlign val="subscript"/>
        <sz val="11"/>
        <color theme="1"/>
        <rFont val="Calibri"/>
        <family val="2"/>
        <scheme val="minor"/>
      </rPr>
      <t>5</t>
    </r>
    <r>
      <rPr>
        <sz val="11"/>
        <color theme="1"/>
        <rFont val="Calibri"/>
        <family val="2"/>
        <scheme val="minor"/>
      </rPr>
      <t>]</t>
    </r>
    <r>
      <rPr>
        <vertAlign val="subscript"/>
        <sz val="11"/>
        <color theme="1"/>
        <rFont val="Calibri"/>
        <family val="2"/>
        <scheme val="minor"/>
      </rPr>
      <t>e</t>
    </r>
  </si>
  <si>
    <r>
      <t>Carga DBO</t>
    </r>
    <r>
      <rPr>
        <vertAlign val="subscript"/>
        <sz val="11"/>
        <color theme="1"/>
        <rFont val="Calibri"/>
        <family val="2"/>
        <scheme val="minor"/>
      </rPr>
      <t>5</t>
    </r>
  </si>
  <si>
    <r>
      <t>[DQO]</t>
    </r>
    <r>
      <rPr>
        <vertAlign val="subscript"/>
        <sz val="11"/>
        <color theme="1"/>
        <rFont val="Calibri"/>
        <family val="2"/>
        <scheme val="minor"/>
      </rPr>
      <t>e</t>
    </r>
  </si>
  <si>
    <r>
      <t>[SS]</t>
    </r>
    <r>
      <rPr>
        <vertAlign val="subscript"/>
        <sz val="11"/>
        <color theme="1"/>
        <rFont val="Calibri"/>
        <family val="2"/>
        <scheme val="minor"/>
      </rPr>
      <t>e</t>
    </r>
  </si>
  <si>
    <r>
      <t>[NTK]</t>
    </r>
    <r>
      <rPr>
        <vertAlign val="subscript"/>
        <sz val="11"/>
        <color theme="1"/>
        <rFont val="Calibri"/>
        <family val="2"/>
        <scheme val="minor"/>
      </rPr>
      <t>e</t>
    </r>
  </si>
  <si>
    <r>
      <t>[PT]</t>
    </r>
    <r>
      <rPr>
        <vertAlign val="subscript"/>
        <sz val="11"/>
        <color theme="1"/>
        <rFont val="Calibri"/>
        <family val="2"/>
        <scheme val="minor"/>
      </rPr>
      <t>e</t>
    </r>
  </si>
  <si>
    <r>
      <t>[CF]</t>
    </r>
    <r>
      <rPr>
        <vertAlign val="subscript"/>
        <sz val="11"/>
        <color theme="1"/>
        <rFont val="Calibri"/>
        <family val="2"/>
        <scheme val="minor"/>
      </rPr>
      <t>e</t>
    </r>
  </si>
  <si>
    <t>ufc/100mL</t>
  </si>
  <si>
    <t>º C</t>
  </si>
  <si>
    <t>m.s.n.m.</t>
  </si>
  <si>
    <t>Reducción de fósforo por via biológica</t>
  </si>
  <si>
    <t>NT</t>
  </si>
  <si>
    <t>mg/L (límite normativo)</t>
  </si>
  <si>
    <t>PT</t>
  </si>
  <si>
    <t>T</t>
  </si>
  <si>
    <t>NItrificación-desnitrificación</t>
  </si>
  <si>
    <t>EF2-EF1</t>
  </si>
  <si>
    <t>EF1</t>
  </si>
  <si>
    <t>EF2</t>
  </si>
  <si>
    <t>DISEÑO REACTOR BIOLÓGICO</t>
  </si>
  <si>
    <t>PARAMETROS DE DISEÑO REACTOR</t>
  </si>
  <si>
    <t>días</t>
  </si>
  <si>
    <r>
      <rPr>
        <sz val="11"/>
        <color rgb="FF000000"/>
        <rFont val="Calibri"/>
        <family val="2"/>
      </rPr>
      <t xml:space="preserve">T&lt;13: 25d; 13≥T≥18: 20*1,072^(12-T); T&gt;18: 16d </t>
    </r>
    <r>
      <rPr>
        <sz val="11"/>
        <color rgb="FFED7D31"/>
        <rFont val="Calibri"/>
        <family val="2"/>
      </rPr>
      <t>(CD)</t>
    </r>
  </si>
  <si>
    <t>Fracción anóxica</t>
  </si>
  <si>
    <r>
      <rPr>
        <sz val="11"/>
        <color rgb="FF000000"/>
        <rFont val="Calibri"/>
        <family val="2"/>
      </rPr>
      <t xml:space="preserve">≈ 25% del Vox+Vanox </t>
    </r>
    <r>
      <rPr>
        <sz val="11"/>
        <color rgb="FFED7D31"/>
        <rFont val="Calibri"/>
        <family val="2"/>
      </rPr>
      <t>(CD)</t>
    </r>
  </si>
  <si>
    <t>Fracción anaerobiosis</t>
  </si>
  <si>
    <r>
      <rPr>
        <sz val="11"/>
        <color rgb="FF000000"/>
        <rFont val="Calibri"/>
        <family val="2"/>
      </rPr>
      <t xml:space="preserve">≈ 15% del Vox+Vanox </t>
    </r>
    <r>
      <rPr>
        <sz val="11"/>
        <color rgb="FFED7D31"/>
        <rFont val="Calibri"/>
        <family val="2"/>
      </rPr>
      <t>(CD)</t>
    </r>
  </si>
  <si>
    <t>TRH en zona anaerobia</t>
  </si>
  <si>
    <r>
      <rPr>
        <sz val="11"/>
        <color rgb="FF000000"/>
        <rFont val="Calibri"/>
        <family val="2"/>
      </rPr>
      <t xml:space="preserve">≈ 2 h </t>
    </r>
    <r>
      <rPr>
        <sz val="11"/>
        <color rgb="FFED7D31"/>
        <rFont val="Calibri"/>
        <family val="2"/>
      </rPr>
      <t>(CD)</t>
    </r>
  </si>
  <si>
    <t>SS en licor mezcla (MLSS)</t>
  </si>
  <si>
    <t>mg MLSS/L</t>
  </si>
  <si>
    <r>
      <rPr>
        <sz val="11"/>
        <color rgb="FF000000"/>
        <rFont val="Calibri"/>
        <family val="2"/>
      </rPr>
      <t>3.500-4.500</t>
    </r>
    <r>
      <rPr>
        <sz val="11"/>
        <color rgb="FFED7D31"/>
        <rFont val="Calibri"/>
        <family val="2"/>
      </rPr>
      <t xml:space="preserve"> (CD)</t>
    </r>
  </si>
  <si>
    <r>
      <rPr>
        <sz val="11"/>
        <color rgb="FF000000"/>
        <rFont val="Calibri"/>
        <family val="2"/>
      </rPr>
      <t>5 -6,5 m</t>
    </r>
    <r>
      <rPr>
        <sz val="11"/>
        <color rgb="FFED7D31"/>
        <rFont val="Calibri"/>
        <family val="2"/>
      </rPr>
      <t xml:space="preserve"> (CD)</t>
    </r>
  </si>
  <si>
    <r>
      <t>1-3</t>
    </r>
    <r>
      <rPr>
        <sz val="11"/>
        <color theme="5"/>
        <rFont val="Calibri"/>
        <family val="2"/>
        <scheme val="minor"/>
      </rPr>
      <t xml:space="preserve"> (BOL)</t>
    </r>
  </si>
  <si>
    <t>kg m.s./d</t>
  </si>
  <si>
    <t>Volumen mínimo necesario óxico + anóxico (Vox+Vanox)</t>
  </si>
  <si>
    <t>Volumen desnitrificación (Vanox)</t>
  </si>
  <si>
    <t>Volumen reducción de fosforo (Vana)</t>
  </si>
  <si>
    <t xml:space="preserve">Volumen mínimo necesario </t>
  </si>
  <si>
    <r>
      <rPr>
        <sz val="11"/>
        <color rgb="FF000000"/>
        <rFont val="Calibri"/>
        <family val="2"/>
      </rPr>
      <t xml:space="preserve">V &lt; 180 m3: 1 Ud; V ≤ 4.000 m3: 2; V ≥ 4.000 m3: 3 </t>
    </r>
    <r>
      <rPr>
        <sz val="11"/>
        <color rgb="FFED7D31"/>
        <rFont val="Calibri"/>
        <family val="2"/>
      </rPr>
      <t>(CD)</t>
    </r>
  </si>
  <si>
    <t>Longitud total adoptada (L)</t>
  </si>
  <si>
    <t>Longitud zona anaerobia</t>
  </si>
  <si>
    <t>Longitud zona de anóxica</t>
  </si>
  <si>
    <t>PARAMETROS DE FUNCIONAMIENTO REACTOR</t>
  </si>
  <si>
    <r>
      <t>≤ 0,5 m</t>
    </r>
    <r>
      <rPr>
        <vertAlign val="superscript"/>
        <sz val="11"/>
        <color rgb="FF000000"/>
        <rFont val="Calibri"/>
        <family val="2"/>
      </rPr>
      <t>3</t>
    </r>
    <r>
      <rPr>
        <sz val="11"/>
        <color rgb="FF000000"/>
        <rFont val="Calibri"/>
        <family val="2"/>
      </rPr>
      <t>/m</t>
    </r>
    <r>
      <rPr>
        <vertAlign val="superscript"/>
        <sz val="11"/>
        <color rgb="FF000000"/>
        <rFont val="Calibri"/>
        <family val="2"/>
      </rPr>
      <t>2</t>
    </r>
    <r>
      <rPr>
        <sz val="11"/>
        <color rgb="FF000000"/>
        <rFont val="Calibri"/>
        <family val="2"/>
      </rPr>
      <t xml:space="preserve">/h </t>
    </r>
    <r>
      <rPr>
        <sz val="11"/>
        <color rgb="FFED7D31"/>
        <rFont val="Calibri"/>
        <family val="2"/>
      </rPr>
      <t>(CD)</t>
    </r>
  </si>
  <si>
    <r>
      <t>= nº de reactores biológicos</t>
    </r>
    <r>
      <rPr>
        <sz val="11"/>
        <color theme="5"/>
        <rFont val="Calibri"/>
        <family val="2"/>
        <scheme val="minor"/>
      </rPr>
      <t xml:space="preserve"> (CD)</t>
    </r>
  </si>
  <si>
    <r>
      <t xml:space="preserve">≤ 0,5 m/h </t>
    </r>
    <r>
      <rPr>
        <sz val="11"/>
        <color rgb="FFED7D31"/>
        <rFont val="Calibri"/>
        <family val="2"/>
      </rPr>
      <t>(CD)</t>
    </r>
  </si>
  <si>
    <r>
      <t>m</t>
    </r>
    <r>
      <rPr>
        <vertAlign val="superscript"/>
        <sz val="11"/>
        <color theme="1"/>
        <rFont val="Calibri"/>
        <family val="2"/>
        <scheme val="minor"/>
      </rPr>
      <t>3</t>
    </r>
    <r>
      <rPr>
        <sz val="11"/>
        <color theme="1"/>
        <rFont val="Calibri"/>
        <family val="2"/>
        <scheme val="minor"/>
      </rPr>
      <t>/ml/h</t>
    </r>
  </si>
  <si>
    <r>
      <t>Carga de DBO</t>
    </r>
    <r>
      <rPr>
        <vertAlign val="subscript"/>
        <sz val="11"/>
        <color theme="1"/>
        <rFont val="Calibri"/>
        <family val="2"/>
        <scheme val="minor"/>
      </rPr>
      <t>5</t>
    </r>
    <r>
      <rPr>
        <sz val="11"/>
        <color theme="1"/>
        <rFont val="Calibri"/>
        <family val="2"/>
        <scheme val="minor"/>
      </rPr>
      <t xml:space="preserve"> eliminada</t>
    </r>
  </si>
  <si>
    <r>
      <rPr>
        <sz val="11"/>
        <color rgb="FF000000"/>
        <rFont val="Calibri"/>
        <family val="2"/>
      </rPr>
      <t>kg lodo /kg DBO</t>
    </r>
    <r>
      <rPr>
        <vertAlign val="subscript"/>
        <sz val="11"/>
        <color rgb="FF000000"/>
        <rFont val="Calibri"/>
        <family val="2"/>
      </rPr>
      <t>5</t>
    </r>
    <r>
      <rPr>
        <sz val="11"/>
        <color rgb="FF000000"/>
        <rFont val="Calibri"/>
        <family val="2"/>
      </rPr>
      <t xml:space="preserve"> elim</t>
    </r>
  </si>
  <si>
    <r>
      <rPr>
        <sz val="11"/>
        <color rgb="FF000000"/>
        <rFont val="Calibri"/>
        <family val="2"/>
      </rPr>
      <t xml:space="preserve">Rangos orientativos </t>
    </r>
    <r>
      <rPr>
        <sz val="11"/>
        <color rgb="FFED7D31"/>
        <rFont val="Calibri"/>
        <family val="2"/>
      </rPr>
      <t>(CD)</t>
    </r>
    <r>
      <rPr>
        <sz val="11"/>
        <color rgb="FF000000"/>
        <rFont val="Calibri"/>
        <family val="2"/>
      </rPr>
      <t>:
0,8-1 (para DBO</t>
    </r>
    <r>
      <rPr>
        <vertAlign val="subscript"/>
        <sz val="11"/>
        <color rgb="FF000000"/>
        <rFont val="Calibri"/>
        <family val="2"/>
      </rPr>
      <t>5</t>
    </r>
    <r>
      <rPr>
        <sz val="11"/>
        <color rgb="FF000000"/>
        <rFont val="Calibri"/>
        <family val="2"/>
      </rPr>
      <t>=300 y SS=300); 1,2 (para DBO</t>
    </r>
    <r>
      <rPr>
        <vertAlign val="subscript"/>
        <sz val="11"/>
        <color rgb="FF000000"/>
        <rFont val="Calibri"/>
        <family val="2"/>
      </rPr>
      <t>5</t>
    </r>
    <r>
      <rPr>
        <sz val="11"/>
        <color rgb="FF000000"/>
        <rFont val="Calibri"/>
        <family val="2"/>
      </rPr>
      <t>=200 y SS=400)</t>
    </r>
  </si>
  <si>
    <t>m.s./lodo (en peso)</t>
  </si>
  <si>
    <r>
      <rPr>
        <sz val="11"/>
        <color rgb="FF000000"/>
        <rFont val="Calibri"/>
        <family val="2"/>
      </rPr>
      <t>= 6%</t>
    </r>
    <r>
      <rPr>
        <sz val="11"/>
        <color rgb="FFED7D31"/>
        <rFont val="Calibri"/>
        <family val="2"/>
      </rPr>
      <t xml:space="preserve"> (CD)</t>
    </r>
  </si>
  <si>
    <r>
      <rPr>
        <sz val="11"/>
        <color rgb="FF000000"/>
        <rFont val="Calibri"/>
        <family val="2"/>
      </rPr>
      <t>Sin elim P = 1%</t>
    </r>
    <r>
      <rPr>
        <sz val="11"/>
        <color rgb="FFED7D31"/>
        <rFont val="Calibri"/>
        <family val="2"/>
      </rPr>
      <t xml:space="preserve"> (CD) </t>
    </r>
  </si>
  <si>
    <r>
      <rPr>
        <sz val="11"/>
        <color rgb="FF000000"/>
        <rFont val="Calibri"/>
        <family val="2"/>
      </rPr>
      <t xml:space="preserve">= 1 d </t>
    </r>
    <r>
      <rPr>
        <sz val="11"/>
        <color rgb="FFED7D31"/>
        <rFont val="Calibri"/>
        <family val="2"/>
      </rPr>
      <t>(BOL p 874)</t>
    </r>
  </si>
  <si>
    <r>
      <rPr>
        <sz val="11"/>
        <color rgb="FF000000"/>
        <rFont val="Calibri"/>
        <family val="2"/>
      </rPr>
      <t xml:space="preserve">85-95% </t>
    </r>
    <r>
      <rPr>
        <sz val="11"/>
        <color rgb="FFED7D31"/>
        <rFont val="Calibri"/>
        <family val="2"/>
      </rPr>
      <t>(BOL p 620)</t>
    </r>
  </si>
  <si>
    <r>
      <rPr>
        <sz val="11"/>
        <color rgb="FF000000"/>
        <rFont val="Calibri"/>
        <family val="2"/>
      </rPr>
      <t xml:space="preserve">80-90% </t>
    </r>
    <r>
      <rPr>
        <sz val="11"/>
        <color rgb="FFED7D31"/>
        <rFont val="Calibri"/>
        <family val="2"/>
      </rPr>
      <t>(BOL p 620)</t>
    </r>
  </si>
  <si>
    <r>
      <rPr>
        <sz val="11"/>
        <color rgb="FF000000"/>
        <rFont val="Calibri"/>
        <family val="2"/>
      </rPr>
      <t xml:space="preserve">0,1 - 0,3 </t>
    </r>
    <r>
      <rPr>
        <sz val="11"/>
        <color rgb="FFED7D31"/>
        <rFont val="Calibri"/>
        <family val="2"/>
      </rPr>
      <t>(M&amp;E p 125)</t>
    </r>
    <r>
      <rPr>
        <sz val="11"/>
        <color rgb="FF000000"/>
        <rFont val="Calibri"/>
        <family val="2"/>
      </rPr>
      <t xml:space="preserve">; 0,24 </t>
    </r>
    <r>
      <rPr>
        <sz val="11"/>
        <color rgb="FFED7D31"/>
        <rFont val="Calibri"/>
        <family val="2"/>
      </rPr>
      <t>(CD)</t>
    </r>
  </si>
  <si>
    <r>
      <rPr>
        <sz val="11"/>
        <color rgb="FF000000"/>
        <rFont val="Calibri"/>
        <family val="2"/>
      </rPr>
      <t>[SS]</t>
    </r>
    <r>
      <rPr>
        <vertAlign val="subscript"/>
        <sz val="11"/>
        <color rgb="FF000000"/>
        <rFont val="Calibri"/>
        <family val="2"/>
      </rPr>
      <t>s</t>
    </r>
  </si>
  <si>
    <r>
      <rPr>
        <sz val="11"/>
        <color rgb="FF000000"/>
        <rFont val="Calibri"/>
        <family val="2"/>
      </rPr>
      <t>85-95%</t>
    </r>
    <r>
      <rPr>
        <sz val="11"/>
        <color rgb="FFED7D31"/>
        <rFont val="Calibri"/>
        <family val="2"/>
      </rPr>
      <t xml:space="preserve"> (BOL p 620)</t>
    </r>
  </si>
  <si>
    <r>
      <rPr>
        <sz val="11"/>
        <color rgb="FF000000"/>
        <rFont val="Calibri"/>
        <family val="2"/>
      </rPr>
      <t>[NT]</t>
    </r>
    <r>
      <rPr>
        <vertAlign val="subscript"/>
        <sz val="11"/>
        <color rgb="FF000000"/>
        <rFont val="Calibri"/>
        <family val="2"/>
      </rPr>
      <t>s</t>
    </r>
  </si>
  <si>
    <r>
      <rPr>
        <sz val="11"/>
        <color rgb="FF000000"/>
        <rFont val="Calibri"/>
        <family val="2"/>
      </rPr>
      <t xml:space="preserve">80-85% </t>
    </r>
    <r>
      <rPr>
        <sz val="11"/>
        <color rgb="FFED7D31"/>
        <rFont val="Calibri"/>
        <family val="2"/>
      </rPr>
      <t>(BOL p 620)</t>
    </r>
  </si>
  <si>
    <r>
      <rPr>
        <sz val="11"/>
        <color rgb="FF000000"/>
        <rFont val="Calibri"/>
        <family val="2"/>
      </rPr>
      <t>[PT]</t>
    </r>
    <r>
      <rPr>
        <vertAlign val="subscript"/>
        <sz val="11"/>
        <color rgb="FF000000"/>
        <rFont val="Calibri"/>
        <family val="2"/>
      </rPr>
      <t>s</t>
    </r>
  </si>
  <si>
    <r>
      <rPr>
        <sz val="11"/>
        <color rgb="FF000000"/>
        <rFont val="Calibri"/>
        <family val="2"/>
      </rPr>
      <t xml:space="preserve">Sin elim P: 20-30% </t>
    </r>
    <r>
      <rPr>
        <sz val="11"/>
        <color rgb="FFED7D31"/>
        <rFont val="Calibri"/>
        <family val="2"/>
      </rPr>
      <t>(BOL p 620)</t>
    </r>
  </si>
  <si>
    <r>
      <rPr>
        <sz val="11"/>
        <color rgb="FF000000"/>
        <rFont val="Calibri"/>
        <family val="2"/>
      </rPr>
      <t xml:space="preserve">=1 ULog </t>
    </r>
    <r>
      <rPr>
        <sz val="11"/>
        <color rgb="FFED7D31"/>
        <rFont val="Calibri"/>
        <family val="2"/>
      </rPr>
      <t>(BOL p 620)</t>
    </r>
  </si>
  <si>
    <t>MEDICIONES DE OBRA CIVIL REACTOR</t>
  </si>
  <si>
    <r>
      <t xml:space="preserve">= 0,5 </t>
    </r>
    <r>
      <rPr>
        <sz val="11"/>
        <color theme="5"/>
        <rFont val="Calibri"/>
        <family val="2"/>
      </rPr>
      <t>(CD)</t>
    </r>
  </si>
  <si>
    <r>
      <rPr>
        <sz val="11"/>
        <color theme="1"/>
        <rFont val="Calibri"/>
        <family val="2"/>
      </rPr>
      <t xml:space="preserve">≥ </t>
    </r>
    <r>
      <rPr>
        <sz val="11"/>
        <color theme="1"/>
        <rFont val="Calibri"/>
        <family val="2"/>
        <scheme val="minor"/>
      </rPr>
      <t xml:space="preserve">0,45 </t>
    </r>
    <r>
      <rPr>
        <sz val="11"/>
        <color theme="5"/>
        <rFont val="Calibri"/>
        <family val="2"/>
        <scheme val="minor"/>
      </rPr>
      <t>(CD)</t>
    </r>
  </si>
  <si>
    <t>Espesor muros interiores</t>
  </si>
  <si>
    <r>
      <t>= 0,25</t>
    </r>
    <r>
      <rPr>
        <sz val="11"/>
        <color theme="5"/>
        <rFont val="Calibri"/>
        <family val="2"/>
      </rPr>
      <t xml:space="preserve"> (CD)</t>
    </r>
  </si>
  <si>
    <t>Profundidad de la excavación</t>
  </si>
  <si>
    <t>Número de muros interiores</t>
  </si>
  <si>
    <r>
      <rPr>
        <sz val="11"/>
        <color rgb="FF000000"/>
        <rFont val="Calibri"/>
        <family val="2"/>
      </rPr>
      <t>Con elim P = 2; Sin elim P = 3</t>
    </r>
    <r>
      <rPr>
        <sz val="11"/>
        <color rgb="FFED7D31"/>
        <rFont val="Calibri"/>
        <family val="2"/>
      </rPr>
      <t xml:space="preserve"> (CD)</t>
    </r>
  </si>
  <si>
    <t>Hormigón muros exteriores</t>
  </si>
  <si>
    <t>Hormigón muros interiores</t>
  </si>
  <si>
    <t>Edificio de aireación</t>
  </si>
  <si>
    <t>MEDICIONES DE OBRA CIVIL DECANTADOR</t>
  </si>
  <si>
    <t>Tierra = 1. Roca =2</t>
  </si>
  <si>
    <t>Llano = 1, Pendiente suave = 2, Pendiente fuerte =2</t>
  </si>
  <si>
    <t>Altura hasta el fondo</t>
  </si>
  <si>
    <r>
      <rPr>
        <sz val="11"/>
        <color theme="1"/>
        <rFont val="Calibri"/>
        <family val="2"/>
      </rPr>
      <t xml:space="preserve">≥ </t>
    </r>
    <r>
      <rPr>
        <sz val="11"/>
        <color theme="1"/>
        <rFont val="Calibri"/>
        <family val="2"/>
        <scheme val="minor"/>
      </rPr>
      <t xml:space="preserve">0,4 </t>
    </r>
    <r>
      <rPr>
        <sz val="11"/>
        <color theme="5"/>
        <rFont val="Calibri"/>
        <family val="2"/>
        <scheme val="minor"/>
      </rPr>
      <t>(CD)</t>
    </r>
  </si>
  <si>
    <t>EQUIPOS ELECTROMECÁNICOS REACTOR</t>
  </si>
  <si>
    <t>Compuerta canal entrada reactor</t>
  </si>
  <si>
    <t>Agitadores zona anaerobia</t>
  </si>
  <si>
    <r>
      <rPr>
        <sz val="11"/>
        <color rgb="FF000000"/>
        <rFont val="Calibri"/>
        <family val="2"/>
      </rPr>
      <t>Con elim P = 2 por reactor ; Sin elim P = 0</t>
    </r>
    <r>
      <rPr>
        <sz val="11"/>
        <color rgb="FFED7D31"/>
        <rFont val="Calibri"/>
        <family val="2"/>
      </rPr>
      <t xml:space="preserve"> (CD) </t>
    </r>
  </si>
  <si>
    <t> </t>
  </si>
  <si>
    <t>Agitadores zona anóxica</t>
  </si>
  <si>
    <r>
      <rPr>
        <sz val="11"/>
        <color rgb="FF000000"/>
        <rFont val="Calibri"/>
        <family val="2"/>
      </rPr>
      <t>= 2 por reactor</t>
    </r>
    <r>
      <rPr>
        <sz val="11"/>
        <color rgb="FFED7D31"/>
        <rFont val="Calibri"/>
        <family val="2"/>
      </rPr>
      <t xml:space="preserve"> (CD)</t>
    </r>
  </si>
  <si>
    <t>Agitadores zona facultativa</t>
  </si>
  <si>
    <t>Soplantes</t>
  </si>
  <si>
    <r>
      <t xml:space="preserve">Una por reactor + una de reserva </t>
    </r>
    <r>
      <rPr>
        <sz val="11"/>
        <color theme="5"/>
        <rFont val="Calibri"/>
        <family val="2"/>
        <scheme val="minor"/>
      </rPr>
      <t>(CD)</t>
    </r>
  </si>
  <si>
    <t>Tuberias de aire</t>
  </si>
  <si>
    <t>Ud tubería general</t>
  </si>
  <si>
    <r>
      <rPr>
        <sz val="11"/>
        <color rgb="FF000000"/>
        <rFont val="Calibri"/>
        <family val="2"/>
      </rPr>
      <t>= Longitud reactor</t>
    </r>
    <r>
      <rPr>
        <sz val="11"/>
        <color rgb="FFED7D31"/>
        <rFont val="Calibri"/>
        <family val="2"/>
      </rPr>
      <t xml:space="preserve"> (CD)</t>
    </r>
  </si>
  <si>
    <r>
      <t xml:space="preserve">mm </t>
    </r>
    <r>
      <rPr>
        <sz val="11"/>
        <color theme="1"/>
        <rFont val="Calibri"/>
        <family val="2"/>
      </rPr>
      <t>Փmin</t>
    </r>
  </si>
  <si>
    <r>
      <rPr>
        <sz val="11"/>
        <color rgb="FF000000"/>
        <rFont val="Calibri"/>
        <family val="2"/>
      </rPr>
      <t xml:space="preserve">Velocidad ≤ 15 m/s </t>
    </r>
    <r>
      <rPr>
        <sz val="11"/>
        <color rgb="FFED7D31"/>
        <rFont val="Calibri"/>
        <family val="2"/>
      </rPr>
      <t>(CD)</t>
    </r>
  </si>
  <si>
    <t>Ud para distribución reactores</t>
  </si>
  <si>
    <t>mm Փmin</t>
  </si>
  <si>
    <r>
      <t xml:space="preserve">Velocidad </t>
    </r>
    <r>
      <rPr>
        <sz val="11"/>
        <color theme="1"/>
        <rFont val="Calibri"/>
        <family val="2"/>
      </rPr>
      <t>≤</t>
    </r>
    <r>
      <rPr>
        <sz val="11"/>
        <color theme="1"/>
        <rFont val="Calibri"/>
        <family val="2"/>
        <scheme val="minor"/>
      </rPr>
      <t xml:space="preserve"> 15 m/s </t>
    </r>
    <r>
      <rPr>
        <sz val="11"/>
        <color theme="5"/>
        <rFont val="Calibri"/>
        <family val="2"/>
        <scheme val="minor"/>
      </rPr>
      <t>(CD)</t>
    </r>
  </si>
  <si>
    <t>Domos difusores</t>
  </si>
  <si>
    <r>
      <t>4 m</t>
    </r>
    <r>
      <rPr>
        <vertAlign val="superscript"/>
        <sz val="11"/>
        <color theme="1"/>
        <rFont val="Calibri"/>
        <family val="2"/>
        <scheme val="minor"/>
      </rPr>
      <t>3</t>
    </r>
    <r>
      <rPr>
        <sz val="11"/>
        <color theme="1"/>
        <rFont val="Calibri"/>
        <family val="2"/>
        <scheme val="minor"/>
      </rPr>
      <t>/h discos de 9"</t>
    </r>
    <r>
      <rPr>
        <sz val="11"/>
        <color theme="5"/>
        <rFont val="Calibri"/>
        <family val="2"/>
        <scheme val="minor"/>
      </rPr>
      <t xml:space="preserve"> (CD)</t>
    </r>
  </si>
  <si>
    <t>Bombas de recirculación interna</t>
  </si>
  <si>
    <r>
      <rPr>
        <sz val="11"/>
        <color rgb="FF000000"/>
        <rFont val="Calibri"/>
        <family val="2"/>
      </rPr>
      <t xml:space="preserve">= 3*Qm </t>
    </r>
    <r>
      <rPr>
        <sz val="11"/>
        <color rgb="FFED7D31"/>
        <rFont val="Calibri"/>
        <family val="2"/>
      </rPr>
      <t>(CD)</t>
    </r>
  </si>
  <si>
    <t>Instrumentación y control</t>
  </si>
  <si>
    <t>Ud de reactor</t>
  </si>
  <si>
    <t>Compuerta mural entrada decantador</t>
  </si>
  <si>
    <t>Válvulas recirculación externa</t>
  </si>
  <si>
    <t>Bombas de recirculación externa</t>
  </si>
  <si>
    <r>
      <rPr>
        <sz val="11"/>
        <color rgb="FF000000"/>
        <rFont val="Calibri"/>
        <family val="2"/>
      </rPr>
      <t xml:space="preserve">Una por reactor + una de reserva </t>
    </r>
    <r>
      <rPr>
        <sz val="11"/>
        <color rgb="FFED7D31"/>
        <rFont val="Calibri"/>
        <family val="2"/>
      </rPr>
      <t>(CD)</t>
    </r>
  </si>
  <si>
    <r>
      <rPr>
        <sz val="11"/>
        <color rgb="FF000000"/>
        <rFont val="Calibri"/>
        <family val="2"/>
      </rPr>
      <t xml:space="preserve">≥ 200 % Qm </t>
    </r>
    <r>
      <rPr>
        <sz val="11"/>
        <color rgb="FFED7D31"/>
        <rFont val="Calibri"/>
        <family val="2"/>
      </rPr>
      <t>(CD)</t>
    </r>
  </si>
  <si>
    <r>
      <rPr>
        <sz val="11"/>
        <color rgb="FF000000"/>
        <rFont val="Calibri"/>
        <family val="2"/>
      </rPr>
      <t xml:space="preserve">≥ 3 m </t>
    </r>
    <r>
      <rPr>
        <sz val="11"/>
        <color rgb="FFED7D31"/>
        <rFont val="Calibri"/>
        <family val="2"/>
      </rPr>
      <t>(CD)</t>
    </r>
  </si>
  <si>
    <t>OBRA CIVIL REACTOR</t>
  </si>
  <si>
    <t>Edificio</t>
  </si>
  <si>
    <t>Total obra civil reactor</t>
  </si>
  <si>
    <t>Tuberias de aporte de aire (m)</t>
  </si>
  <si>
    <t>Total equipos electromecánicos reactor</t>
  </si>
  <si>
    <r>
      <rPr>
        <i/>
        <sz val="11"/>
        <color theme="5"/>
        <rFont val="Calibri"/>
        <family val="2"/>
        <scheme val="minor"/>
      </rPr>
      <t xml:space="preserve">(ATV) </t>
    </r>
    <r>
      <rPr>
        <i/>
        <sz val="11"/>
        <color theme="1"/>
        <rFont val="Calibri"/>
        <family val="2"/>
        <scheme val="minor"/>
      </rPr>
      <t>Norma ATV-130</t>
    </r>
  </si>
  <si>
    <r>
      <t>(BOL)</t>
    </r>
    <r>
      <rPr>
        <i/>
        <sz val="11"/>
        <rFont val="Calibri"/>
        <family val="2"/>
        <scheme val="minor"/>
      </rPr>
      <t xml:space="preserve"> Guía Técnica para la Selección y Diseño de Líneas de Tratamiento de Aguas Residuales (Bolivia, 2021)</t>
    </r>
  </si>
  <si>
    <r>
      <rPr>
        <i/>
        <sz val="11"/>
        <color theme="5"/>
        <rFont val="Calibri"/>
        <family val="2"/>
        <scheme val="minor"/>
      </rPr>
      <t xml:space="preserve">(IWA) </t>
    </r>
    <r>
      <rPr>
        <i/>
        <sz val="11"/>
        <color theme="1"/>
        <rFont val="Calibri"/>
        <family val="2"/>
        <scheme val="minor"/>
      </rPr>
      <t>Biological Wastewater Treatment in Warm Climate Regions (2005)</t>
    </r>
  </si>
  <si>
    <t>Las tuberías de aire están construidas en acero galvanizado</t>
  </si>
  <si>
    <t>Se considera un rendimiento de las bombas del 70%</t>
  </si>
  <si>
    <t>Hormigón arquetas 10% del hormigón solera</t>
  </si>
  <si>
    <r>
      <t>El edificio de aireación cuenta con 10 m</t>
    </r>
    <r>
      <rPr>
        <i/>
        <vertAlign val="superscript"/>
        <sz val="11"/>
        <color theme="1"/>
        <rFont val="Calibri"/>
        <family val="2"/>
        <scheme val="minor"/>
      </rPr>
      <t>2</t>
    </r>
    <r>
      <rPr>
        <i/>
        <sz val="11"/>
        <color theme="1"/>
        <rFont val="Calibri"/>
        <family val="2"/>
        <scheme val="minor"/>
      </rPr>
      <t xml:space="preserve"> para cada soplante instalada</t>
    </r>
  </si>
  <si>
    <r>
      <rPr>
        <b/>
        <sz val="14"/>
        <color rgb="FF000000"/>
        <rFont val="Calibri"/>
        <family val="2"/>
      </rPr>
      <t>Anexo: Cálculos aireación</t>
    </r>
    <r>
      <rPr>
        <sz val="14"/>
        <color rgb="FFED7D31"/>
        <rFont val="Calibri"/>
        <family val="2"/>
      </rPr>
      <t xml:space="preserve"> (CEDEX T 27 p 65)</t>
    </r>
  </si>
  <si>
    <t>Volumen oxidación</t>
  </si>
  <si>
    <r>
      <rPr>
        <sz val="11"/>
        <color rgb="FF000000"/>
        <rFont val="Calibri"/>
        <family val="2"/>
      </rPr>
      <t>Carga DBO</t>
    </r>
    <r>
      <rPr>
        <vertAlign val="subscript"/>
        <sz val="11"/>
        <color rgb="FF000000"/>
        <rFont val="Calibri"/>
        <family val="2"/>
      </rPr>
      <t>5</t>
    </r>
    <r>
      <rPr>
        <sz val="11"/>
        <color rgb="FF000000"/>
        <rFont val="Calibri"/>
        <family val="2"/>
      </rPr>
      <t xml:space="preserve"> eliminada</t>
    </r>
  </si>
  <si>
    <r>
      <rPr>
        <sz val="11"/>
        <color rgb="FF000000"/>
        <rFont val="Calibri"/>
        <family val="2"/>
      </rPr>
      <t>kg DBO</t>
    </r>
    <r>
      <rPr>
        <vertAlign val="subscript"/>
        <sz val="11"/>
        <color rgb="FF000000"/>
        <rFont val="Calibri"/>
        <family val="2"/>
      </rPr>
      <t xml:space="preserve">5 </t>
    </r>
    <r>
      <rPr>
        <sz val="11"/>
        <color rgb="FF000000"/>
        <rFont val="Calibri"/>
        <family val="2"/>
      </rPr>
      <t>elim/d</t>
    </r>
  </si>
  <si>
    <t>MLSS</t>
  </si>
  <si>
    <r>
      <t>kg MLSS/m</t>
    </r>
    <r>
      <rPr>
        <vertAlign val="superscript"/>
        <sz val="11"/>
        <color theme="1"/>
        <rFont val="Calibri"/>
        <family val="2"/>
        <scheme val="minor"/>
      </rPr>
      <t>3</t>
    </r>
  </si>
  <si>
    <r>
      <rPr>
        <sz val="11"/>
        <color rgb="FF000000"/>
        <rFont val="Calibri"/>
        <family val="2"/>
      </rPr>
      <t>[NTK]</t>
    </r>
    <r>
      <rPr>
        <vertAlign val="subscript"/>
        <sz val="11"/>
        <color rgb="FF000000"/>
        <rFont val="Calibri"/>
        <family val="2"/>
      </rPr>
      <t>s</t>
    </r>
  </si>
  <si>
    <r>
      <rPr>
        <sz val="11"/>
        <color rgb="FF000000"/>
        <rFont val="Calibri"/>
        <family val="2"/>
      </rPr>
      <t>Carga N-NH</t>
    </r>
    <r>
      <rPr>
        <vertAlign val="subscript"/>
        <sz val="11"/>
        <color rgb="FF000000"/>
        <rFont val="Calibri"/>
        <family val="2"/>
      </rPr>
      <t>4</t>
    </r>
    <r>
      <rPr>
        <sz val="11"/>
        <color rgb="FF000000"/>
        <rFont val="Calibri"/>
        <family val="2"/>
      </rPr>
      <t xml:space="preserve"> eliminada</t>
    </r>
  </si>
  <si>
    <r>
      <t>kg N-NH</t>
    </r>
    <r>
      <rPr>
        <vertAlign val="subscript"/>
        <sz val="11"/>
        <color theme="1"/>
        <rFont val="Calibri"/>
        <family val="2"/>
        <scheme val="minor"/>
      </rPr>
      <t>4</t>
    </r>
    <r>
      <rPr>
        <sz val="11"/>
        <color theme="1"/>
        <rFont val="Calibri"/>
        <family val="2"/>
        <scheme val="minor"/>
      </rPr>
      <t xml:space="preserve"> elim/d</t>
    </r>
  </si>
  <si>
    <r>
      <rPr>
        <sz val="11"/>
        <color rgb="FF000000"/>
        <rFont val="Calibri"/>
        <family val="2"/>
      </rPr>
      <t>Carga N-NO</t>
    </r>
    <r>
      <rPr>
        <vertAlign val="subscript"/>
        <sz val="11"/>
        <color rgb="FF000000"/>
        <rFont val="Calibri"/>
        <family val="2"/>
      </rPr>
      <t>3</t>
    </r>
    <r>
      <rPr>
        <sz val="11"/>
        <color rgb="FF000000"/>
        <rFont val="Calibri"/>
        <family val="2"/>
      </rPr>
      <t xml:space="preserve"> eliminada</t>
    </r>
  </si>
  <si>
    <r>
      <t>kg N-NO</t>
    </r>
    <r>
      <rPr>
        <vertAlign val="subscript"/>
        <sz val="11"/>
        <color theme="1"/>
        <rFont val="Calibri"/>
        <family val="2"/>
        <scheme val="minor"/>
      </rPr>
      <t>3</t>
    </r>
    <r>
      <rPr>
        <sz val="11"/>
        <color theme="1"/>
        <rFont val="Calibri"/>
        <family val="2"/>
        <scheme val="minor"/>
      </rPr>
      <t xml:space="preserve"> elim/d</t>
    </r>
  </si>
  <si>
    <t>NECESIDADES DE OXÍGENO</t>
  </si>
  <si>
    <t>a - Factor de síntesis</t>
  </si>
  <si>
    <r>
      <t>kg O</t>
    </r>
    <r>
      <rPr>
        <vertAlign val="subscript"/>
        <sz val="11"/>
        <color rgb="FF000000"/>
        <rFont val="Calibri"/>
        <family val="2"/>
      </rPr>
      <t>2</t>
    </r>
    <r>
      <rPr>
        <sz val="11"/>
        <color rgb="FF000000"/>
        <rFont val="Calibri"/>
        <family val="2"/>
      </rPr>
      <t>/kg DBO</t>
    </r>
    <r>
      <rPr>
        <vertAlign val="subscript"/>
        <sz val="11"/>
        <color rgb="FF000000"/>
        <rFont val="Calibri"/>
        <family val="2"/>
      </rPr>
      <t>5</t>
    </r>
    <r>
      <rPr>
        <sz val="11"/>
        <color rgb="FF000000"/>
        <rFont val="Calibri"/>
        <family val="2"/>
      </rPr>
      <t xml:space="preserve"> elim</t>
    </r>
  </si>
  <si>
    <r>
      <t>kg O</t>
    </r>
    <r>
      <rPr>
        <vertAlign val="subscript"/>
        <sz val="11"/>
        <color theme="1"/>
        <rFont val="Calibri"/>
        <family val="2"/>
        <scheme val="minor"/>
      </rPr>
      <t>2</t>
    </r>
    <r>
      <rPr>
        <sz val="11"/>
        <color theme="1"/>
        <rFont val="Calibri"/>
        <family val="2"/>
        <scheme val="minor"/>
      </rPr>
      <t>/d</t>
    </r>
  </si>
  <si>
    <t>b - Factor de endogénesis</t>
  </si>
  <si>
    <r>
      <rPr>
        <sz val="11"/>
        <color rgb="FF000000"/>
        <rFont val="Calibri"/>
        <family val="2"/>
      </rPr>
      <t>kg O</t>
    </r>
    <r>
      <rPr>
        <vertAlign val="subscript"/>
        <sz val="11"/>
        <color rgb="FF000000"/>
        <rFont val="Calibri"/>
        <family val="2"/>
      </rPr>
      <t>2</t>
    </r>
    <r>
      <rPr>
        <sz val="11"/>
        <color rgb="FF000000"/>
        <rFont val="Calibri"/>
        <family val="2"/>
      </rPr>
      <t>/kg MLSSV</t>
    </r>
  </si>
  <si>
    <t>c - Factor de nitrificación</t>
  </si>
  <si>
    <r>
      <t>kg O</t>
    </r>
    <r>
      <rPr>
        <vertAlign val="subscript"/>
        <sz val="11"/>
        <color rgb="FF000000"/>
        <rFont val="Calibri"/>
        <family val="2"/>
      </rPr>
      <t>2</t>
    </r>
    <r>
      <rPr>
        <sz val="11"/>
        <color rgb="FF000000"/>
        <rFont val="Calibri"/>
        <family val="2"/>
      </rPr>
      <t>/kg N-NH</t>
    </r>
    <r>
      <rPr>
        <vertAlign val="subscript"/>
        <sz val="11"/>
        <color rgb="FF000000"/>
        <rFont val="Calibri"/>
        <family val="2"/>
      </rPr>
      <t>4</t>
    </r>
    <r>
      <rPr>
        <sz val="11"/>
        <color rgb="FF000000"/>
        <rFont val="Calibri"/>
        <family val="2"/>
      </rPr>
      <t xml:space="preserve"> elim</t>
    </r>
  </si>
  <si>
    <t>d - Factor de desnitrificación</t>
  </si>
  <si>
    <r>
      <t>kg O</t>
    </r>
    <r>
      <rPr>
        <vertAlign val="subscript"/>
        <sz val="11"/>
        <color rgb="FF000000"/>
        <rFont val="Calibri"/>
        <family val="2"/>
      </rPr>
      <t>2</t>
    </r>
    <r>
      <rPr>
        <sz val="11"/>
        <color rgb="FF000000"/>
        <rFont val="Calibri"/>
        <family val="2"/>
      </rPr>
      <t>/kg N-NO</t>
    </r>
    <r>
      <rPr>
        <vertAlign val="subscript"/>
        <sz val="11"/>
        <color rgb="FF000000"/>
        <rFont val="Calibri"/>
        <family val="2"/>
      </rPr>
      <t>3</t>
    </r>
    <r>
      <rPr>
        <sz val="11"/>
        <color rgb="FF000000"/>
        <rFont val="Calibri"/>
        <family val="2"/>
      </rPr>
      <t xml:space="preserve"> elim</t>
    </r>
  </si>
  <si>
    <t>Necesidades de oxígeno medio</t>
  </si>
  <si>
    <r>
      <rPr>
        <sz val="11"/>
        <color rgb="FF000000"/>
        <rFont val="Calibri"/>
        <family val="2"/>
      </rPr>
      <t>kg O</t>
    </r>
    <r>
      <rPr>
        <vertAlign val="subscript"/>
        <sz val="11"/>
        <color rgb="FF000000"/>
        <rFont val="Calibri"/>
        <family val="2"/>
      </rPr>
      <t>2</t>
    </r>
    <r>
      <rPr>
        <sz val="11"/>
        <color rgb="FF000000"/>
        <rFont val="Calibri"/>
        <family val="2"/>
      </rPr>
      <t>/d (teórico)</t>
    </r>
  </si>
  <si>
    <r>
      <rPr>
        <sz val="11"/>
        <color rgb="FF000000"/>
        <rFont val="Calibri"/>
        <family val="2"/>
      </rPr>
      <t>1,75-2,25 kg O</t>
    </r>
    <r>
      <rPr>
        <vertAlign val="subscript"/>
        <sz val="11"/>
        <color rgb="FF000000"/>
        <rFont val="Calibri"/>
        <family val="2"/>
      </rPr>
      <t>2</t>
    </r>
    <r>
      <rPr>
        <sz val="11"/>
        <color rgb="FF000000"/>
        <rFont val="Calibri"/>
        <family val="2"/>
      </rPr>
      <t>/kg DBO</t>
    </r>
    <r>
      <rPr>
        <vertAlign val="subscript"/>
        <sz val="11"/>
        <color rgb="FF000000"/>
        <rFont val="Calibri"/>
        <family val="2"/>
      </rPr>
      <t>5</t>
    </r>
    <r>
      <rPr>
        <sz val="11"/>
        <color rgb="FF000000"/>
        <rFont val="Calibri"/>
        <family val="2"/>
      </rPr>
      <t xml:space="preserve"> elim </t>
    </r>
    <r>
      <rPr>
        <sz val="11"/>
        <color rgb="FFED7D31"/>
        <rFont val="Calibri"/>
        <family val="2"/>
      </rPr>
      <t>(CD)</t>
    </r>
  </si>
  <si>
    <r>
      <rPr>
        <sz val="11"/>
        <color rgb="FF000000"/>
        <rFont val="Calibri"/>
        <family val="2"/>
      </rPr>
      <t>kg O</t>
    </r>
    <r>
      <rPr>
        <vertAlign val="subscript"/>
        <sz val="11"/>
        <color rgb="FF000000"/>
        <rFont val="Calibri"/>
        <family val="2"/>
      </rPr>
      <t>2</t>
    </r>
    <r>
      <rPr>
        <sz val="11"/>
        <color rgb="FF000000"/>
        <rFont val="Calibri"/>
        <family val="2"/>
      </rPr>
      <t>/d (corregido)</t>
    </r>
  </si>
  <si>
    <r>
      <rPr>
        <sz val="11"/>
        <color rgb="FF000000"/>
        <rFont val="Calibri"/>
        <family val="2"/>
      </rPr>
      <t>kg O</t>
    </r>
    <r>
      <rPr>
        <vertAlign val="subscript"/>
        <sz val="11"/>
        <color rgb="FF000000"/>
        <rFont val="Calibri"/>
        <family val="2"/>
      </rPr>
      <t>2</t>
    </r>
    <r>
      <rPr>
        <sz val="11"/>
        <color rgb="FF000000"/>
        <rFont val="Calibri"/>
        <family val="2"/>
      </rPr>
      <t>/kg DBO</t>
    </r>
    <r>
      <rPr>
        <vertAlign val="subscript"/>
        <sz val="11"/>
        <color rgb="FF000000"/>
        <rFont val="Calibri"/>
        <family val="2"/>
      </rPr>
      <t>5</t>
    </r>
    <r>
      <rPr>
        <sz val="11"/>
        <color rgb="FF000000"/>
        <rFont val="Calibri"/>
        <family val="2"/>
      </rPr>
      <t xml:space="preserve"> elim</t>
    </r>
  </si>
  <si>
    <t>Necesidad de oxígeno punta</t>
  </si>
  <si>
    <r>
      <rPr>
        <sz val="11"/>
        <color rgb="FF000000"/>
        <rFont val="Calibri"/>
        <family val="2"/>
      </rPr>
      <t xml:space="preserve"> 2,0-4,0 kg O</t>
    </r>
    <r>
      <rPr>
        <vertAlign val="subscript"/>
        <sz val="11"/>
        <color rgb="FF000000"/>
        <rFont val="Calibri"/>
        <family val="2"/>
      </rPr>
      <t>2</t>
    </r>
    <r>
      <rPr>
        <sz val="11"/>
        <color rgb="FF000000"/>
        <rFont val="Calibri"/>
        <family val="2"/>
      </rPr>
      <t>/kg DBO</t>
    </r>
    <r>
      <rPr>
        <vertAlign val="subscript"/>
        <sz val="11"/>
        <color rgb="FF000000"/>
        <rFont val="Calibri"/>
        <family val="2"/>
      </rPr>
      <t xml:space="preserve">5 </t>
    </r>
    <r>
      <rPr>
        <sz val="11"/>
        <color rgb="FF000000"/>
        <rFont val="Calibri"/>
        <family val="2"/>
      </rPr>
      <t xml:space="preserve">elim </t>
    </r>
    <r>
      <rPr>
        <sz val="11"/>
        <color rgb="FFED7D31"/>
        <rFont val="Calibri"/>
        <family val="2"/>
      </rPr>
      <t>(CD)</t>
    </r>
  </si>
  <si>
    <r>
      <t>kg O</t>
    </r>
    <r>
      <rPr>
        <vertAlign val="subscript"/>
        <sz val="11"/>
        <color theme="1"/>
        <rFont val="Calibri"/>
        <family val="2"/>
        <scheme val="minor"/>
      </rPr>
      <t>2</t>
    </r>
    <r>
      <rPr>
        <sz val="11"/>
        <color theme="1"/>
        <rFont val="Calibri"/>
        <family val="2"/>
        <scheme val="minor"/>
      </rPr>
      <t>/kg DBO</t>
    </r>
    <r>
      <rPr>
        <vertAlign val="subscript"/>
        <sz val="11"/>
        <color theme="1"/>
        <rFont val="Calibri"/>
        <family val="2"/>
        <scheme val="minor"/>
      </rPr>
      <t>5</t>
    </r>
    <r>
      <rPr>
        <sz val="11"/>
        <color theme="1"/>
        <rFont val="Calibri"/>
        <family val="2"/>
        <scheme val="minor"/>
      </rPr>
      <t xml:space="preserve"> elim</t>
    </r>
  </si>
  <si>
    <t>CÁLCULO FACTOR PUNTA TOTAL</t>
  </si>
  <si>
    <t>Punta de contaminación (e1)</t>
  </si>
  <si>
    <t>Punta de caudal (e2)</t>
  </si>
  <si>
    <t>Factor simultaneidad (e3)</t>
  </si>
  <si>
    <r>
      <t xml:space="preserve">0,75-1 </t>
    </r>
    <r>
      <rPr>
        <sz val="11"/>
        <color theme="5"/>
        <rFont val="Calibri"/>
        <family val="2"/>
        <scheme val="minor"/>
      </rPr>
      <t>(CD)</t>
    </r>
  </si>
  <si>
    <t>Factor punta Total (eT)</t>
  </si>
  <si>
    <t>CÁLCULO FACTOR DE CORRECCIÓN</t>
  </si>
  <si>
    <t>Altura de lámina de agua</t>
  </si>
  <si>
    <r>
      <t>C</t>
    </r>
    <r>
      <rPr>
        <vertAlign val="subscript"/>
        <sz val="11"/>
        <color theme="1"/>
        <rFont val="Calibri"/>
        <family val="2"/>
        <scheme val="minor"/>
      </rPr>
      <t>altura</t>
    </r>
  </si>
  <si>
    <r>
      <rPr>
        <sz val="11"/>
        <color rgb="FF000000"/>
        <rFont val="Calibri"/>
        <family val="2"/>
      </rPr>
      <t>C</t>
    </r>
    <r>
      <rPr>
        <vertAlign val="subscript"/>
        <sz val="11"/>
        <color rgb="FF000000"/>
        <rFont val="Calibri"/>
        <family val="2"/>
      </rPr>
      <t>h</t>
    </r>
  </si>
  <si>
    <t>Tmax</t>
  </si>
  <si>
    <t>Tmin</t>
  </si>
  <si>
    <r>
      <t>C</t>
    </r>
    <r>
      <rPr>
        <vertAlign val="subscript"/>
        <sz val="11"/>
        <color theme="1"/>
        <rFont val="Calibri"/>
        <family val="2"/>
        <scheme val="minor"/>
      </rPr>
      <t>S</t>
    </r>
    <r>
      <rPr>
        <sz val="11"/>
        <color theme="1"/>
        <rFont val="Calibri"/>
        <family val="2"/>
        <scheme val="minor"/>
      </rPr>
      <t xml:space="preserve"> (Tmax)</t>
    </r>
  </si>
  <si>
    <r>
      <rPr>
        <sz val="11"/>
        <color rgb="FF000000"/>
        <rFont val="Calibri"/>
        <family val="2"/>
      </rPr>
      <t>C</t>
    </r>
    <r>
      <rPr>
        <vertAlign val="subscript"/>
        <sz val="11"/>
        <color rgb="FF000000"/>
        <rFont val="Calibri"/>
        <family val="2"/>
      </rPr>
      <t>S</t>
    </r>
    <r>
      <rPr>
        <sz val="11"/>
        <color rgb="FF000000"/>
        <rFont val="Calibri"/>
        <family val="2"/>
      </rPr>
      <t xml:space="preserve"> (Tmin)</t>
    </r>
  </si>
  <si>
    <t>α</t>
  </si>
  <si>
    <t>β</t>
  </si>
  <si>
    <r>
      <t>C</t>
    </r>
    <r>
      <rPr>
        <vertAlign val="subscript"/>
        <sz val="11"/>
        <color theme="1"/>
        <rFont val="Calibri"/>
        <family val="2"/>
        <scheme val="minor"/>
      </rPr>
      <t>L</t>
    </r>
  </si>
  <si>
    <r>
      <t>C</t>
    </r>
    <r>
      <rPr>
        <vertAlign val="superscript"/>
        <sz val="11"/>
        <color theme="1"/>
        <rFont val="Calibri"/>
        <family val="2"/>
        <scheme val="minor"/>
      </rPr>
      <t>10</t>
    </r>
    <r>
      <rPr>
        <sz val="11"/>
        <color theme="1"/>
        <rFont val="Calibri"/>
        <family val="2"/>
        <scheme val="minor"/>
      </rPr>
      <t>s</t>
    </r>
  </si>
  <si>
    <t>Factor corrección Tmax</t>
  </si>
  <si>
    <t>Factor corrección Tmin</t>
  </si>
  <si>
    <t>Factor corrección final</t>
  </si>
  <si>
    <t>CÁLCULOS  SOPLANTE (CAPACIDAD Y POTENCIA)</t>
  </si>
  <si>
    <t>Potencia específica</t>
  </si>
  <si>
    <r>
      <t>kgO</t>
    </r>
    <r>
      <rPr>
        <vertAlign val="subscript"/>
        <sz val="11"/>
        <color theme="1"/>
        <rFont val="Calibri"/>
        <family val="2"/>
        <scheme val="minor"/>
      </rPr>
      <t>2</t>
    </r>
    <r>
      <rPr>
        <sz val="11"/>
        <color theme="1"/>
        <rFont val="Calibri"/>
        <family val="2"/>
        <scheme val="minor"/>
      </rPr>
      <t>/Kw</t>
    </r>
  </si>
  <si>
    <t>Potencia total requerida</t>
  </si>
  <si>
    <t>Consumo medio</t>
  </si>
  <si>
    <t>kWh/h</t>
  </si>
  <si>
    <t>Consumo medio específico</t>
  </si>
  <si>
    <r>
      <t>kWh/m</t>
    </r>
    <r>
      <rPr>
        <b/>
        <vertAlign val="superscript"/>
        <sz val="11"/>
        <color theme="1"/>
        <rFont val="Calibri"/>
        <family val="2"/>
        <scheme val="minor"/>
      </rPr>
      <t>3</t>
    </r>
  </si>
  <si>
    <r>
      <rPr>
        <sz val="11"/>
        <color rgb="FF000000"/>
        <rFont val="Calibri"/>
        <family val="2"/>
      </rPr>
      <t>0,30-0,40 kWh/m</t>
    </r>
    <r>
      <rPr>
        <vertAlign val="superscript"/>
        <sz val="11"/>
        <color rgb="FF000000"/>
        <rFont val="Calibri"/>
        <family val="2"/>
      </rPr>
      <t>3</t>
    </r>
    <r>
      <rPr>
        <sz val="11"/>
        <color rgb="FFED7D31"/>
        <rFont val="Calibri"/>
        <family val="2"/>
      </rPr>
      <t xml:space="preserve"> (CD)</t>
    </r>
  </si>
  <si>
    <r>
      <t>kg/m</t>
    </r>
    <r>
      <rPr>
        <vertAlign val="superscript"/>
        <sz val="11"/>
        <color theme="1"/>
        <rFont val="Calibri"/>
        <family val="2"/>
        <scheme val="minor"/>
      </rPr>
      <t>3</t>
    </r>
  </si>
  <si>
    <t xml:space="preserve"> </t>
  </si>
  <si>
    <r>
      <rPr>
        <sz val="11"/>
        <color rgb="FF000000"/>
        <rFont val="Calibri"/>
        <family val="2"/>
      </rPr>
      <t>Rdto transf. de O</t>
    </r>
    <r>
      <rPr>
        <vertAlign val="subscript"/>
        <sz val="11"/>
        <color rgb="FF000000"/>
        <rFont val="Calibri"/>
        <family val="2"/>
      </rPr>
      <t>2</t>
    </r>
    <r>
      <rPr>
        <sz val="11"/>
        <color rgb="FF000000"/>
        <rFont val="Calibri"/>
        <family val="2"/>
      </rPr>
      <t xml:space="preserve"> por m profundidad (Re)</t>
    </r>
  </si>
  <si>
    <t>Transferencia de oxígeno (SOTE)</t>
  </si>
  <si>
    <r>
      <rPr>
        <sz val="11"/>
        <color rgb="FF000000"/>
        <rFont val="Calibri"/>
        <family val="2"/>
      </rPr>
      <t>kg O</t>
    </r>
    <r>
      <rPr>
        <vertAlign val="subscript"/>
        <sz val="11"/>
        <color rgb="FF000000"/>
        <rFont val="Calibri"/>
        <family val="2"/>
      </rPr>
      <t>2</t>
    </r>
    <r>
      <rPr>
        <sz val="11"/>
        <color rgb="FF000000"/>
        <rFont val="Calibri"/>
        <family val="2"/>
      </rPr>
      <t>/Nm</t>
    </r>
    <r>
      <rPr>
        <vertAlign val="superscript"/>
        <sz val="11"/>
        <color rgb="FF000000"/>
        <rFont val="Calibri"/>
        <family val="2"/>
      </rPr>
      <t>3</t>
    </r>
  </si>
  <si>
    <t>Caudal aire total necesario</t>
  </si>
  <si>
    <r>
      <t>Nm</t>
    </r>
    <r>
      <rPr>
        <b/>
        <vertAlign val="superscript"/>
        <sz val="11"/>
        <rFont val="Calibri"/>
        <family val="2"/>
        <scheme val="minor"/>
      </rPr>
      <t>3</t>
    </r>
    <r>
      <rPr>
        <b/>
        <sz val="11"/>
        <rFont val="Calibri"/>
        <family val="2"/>
        <scheme val="minor"/>
      </rPr>
      <t>/h</t>
    </r>
  </si>
  <si>
    <t>Equipamiento digestor</t>
  </si>
  <si>
    <t>Cubierta</t>
  </si>
  <si>
    <t>Denominación</t>
  </si>
  <si>
    <t>Detalle de la denominación</t>
  </si>
  <si>
    <t>Unidad de referencia</t>
  </si>
  <si>
    <t>Precio unitario de referencia (USD-2022)</t>
  </si>
  <si>
    <t>Excavación tierra</t>
  </si>
  <si>
    <t>EXC. POZOS TIERRA C.MEDIA BAJO NIVEL FREÁTICO, M.MECANICOS,PROF.MAX. 4.00M</t>
  </si>
  <si>
    <t>Excavación tierra NF</t>
  </si>
  <si>
    <t>EXC. POZOS TIERRA C.MEDIA ALTO NIVEL FREÁTICO, M.MECANICOS,PROF.MAX. 4.00M</t>
  </si>
  <si>
    <t>Excavación roca</t>
  </si>
  <si>
    <t>EXC. POZOS ROCA C.MEDIA, M.MECANICOS,PROF.MAX. 4.00M</t>
  </si>
  <si>
    <t>HORMIGON CIMIENTOS</t>
  </si>
  <si>
    <t>HORMIGON MUROS</t>
  </si>
  <si>
    <t>ACERO EN BARRAS CORRUGADAS TIPO B 400 S</t>
  </si>
  <si>
    <t xml:space="preserve">ENCOF. TABL. AGLOM. MUROS </t>
  </si>
  <si>
    <t>ENCOFRADO VERTICAL CURVO</t>
  </si>
  <si>
    <t>EDIFICIO</t>
  </si>
  <si>
    <t>URBANIZACION</t>
  </si>
  <si>
    <t>CUBIERTA ERAS DE SECADO</t>
  </si>
  <si>
    <t>Denominación y detalle</t>
  </si>
  <si>
    <t>Compuerta manual canal (0,3 x 0,5 m)</t>
  </si>
  <si>
    <t>Compuerta manual canal (0,5 x 1 m)</t>
  </si>
  <si>
    <t>Compuerta manual canal (0,5 x 1,5 m)</t>
  </si>
  <si>
    <t>Compuerta manual canal (0,75 x 1,5 m)</t>
  </si>
  <si>
    <t>Compuerta automática canal (0,3 x 0,5 m)</t>
  </si>
  <si>
    <t>Compuerta automática canal (0,5 x 0,7 m)</t>
  </si>
  <si>
    <t>Compuerta automática canal (0,5 x 1 m)</t>
  </si>
  <si>
    <t>Compuerta automática canal (0,5 x 1,5 m)</t>
  </si>
  <si>
    <t>Compuerta manual mural (0,3 x 0,5 m)</t>
  </si>
  <si>
    <t>Compuerta manual mural (0,5 x 1 m)</t>
  </si>
  <si>
    <t>Compuerta manual mural (0,5 x 1,5 m)</t>
  </si>
  <si>
    <t>Compuerta manual mural (0,75 x 1,5 m)</t>
  </si>
  <si>
    <t>Compuerta automática mural (0,3 x 0,5 m)</t>
  </si>
  <si>
    <t>Compuerta automática mural (0,5 x 0,7 m)</t>
  </si>
  <si>
    <t>Compuerta automática mural (0,5 x 1 m)</t>
  </si>
  <si>
    <t>Compuerta automática mural (0,5 x 1,5 m)</t>
  </si>
  <si>
    <t>Agitadores sumergidos (0,5 kW)</t>
  </si>
  <si>
    <t>Agitadores sumergidos (1 kW)</t>
  </si>
  <si>
    <t>Agitadores sumergidos (3 kW)</t>
  </si>
  <si>
    <t>Agitadores sumergidos (5 kW)</t>
  </si>
  <si>
    <t>Agitadores sumergidos (9 kW)</t>
  </si>
  <si>
    <t>Agitadores sumergidos (7 kW)</t>
  </si>
  <si>
    <t>Agitadores sumergidos canal de oxidación (0,5 kW)</t>
  </si>
  <si>
    <t>Agitadores sumergidos canal de oxidación (1 kW)</t>
  </si>
  <si>
    <t>Agitadores sumergidos canal de oxidación (3 kW)</t>
  </si>
  <si>
    <t>Agitadores sumergidos canal de oxidación (5 kW)</t>
  </si>
  <si>
    <t>Agitadores sumergidos canal de oxidación (7 kW)</t>
  </si>
  <si>
    <t>Agitadores sumergidos canal de oxidación (9 kW)</t>
  </si>
  <si>
    <r>
      <t>Soplantes (250 m</t>
    </r>
    <r>
      <rPr>
        <vertAlign val="superscript"/>
        <sz val="11"/>
        <rFont val="Calibri"/>
        <family val="2"/>
        <scheme val="minor"/>
      </rPr>
      <t>3</t>
    </r>
    <r>
      <rPr>
        <sz val="11"/>
        <rFont val="Calibri"/>
        <family val="2"/>
        <scheme val="minor"/>
      </rPr>
      <t>/h y 1 kW)</t>
    </r>
  </si>
  <si>
    <r>
      <t>Soplantes (500 m</t>
    </r>
    <r>
      <rPr>
        <vertAlign val="superscript"/>
        <sz val="11"/>
        <rFont val="Calibri"/>
        <family val="2"/>
        <scheme val="minor"/>
      </rPr>
      <t>3</t>
    </r>
    <r>
      <rPr>
        <sz val="11"/>
        <rFont val="Calibri"/>
        <family val="2"/>
        <scheme val="minor"/>
      </rPr>
      <t>/h y 3 kW)</t>
    </r>
  </si>
  <si>
    <r>
      <t>Soplantes (1000 m</t>
    </r>
    <r>
      <rPr>
        <vertAlign val="superscript"/>
        <sz val="11"/>
        <rFont val="Calibri"/>
        <family val="2"/>
        <scheme val="minor"/>
      </rPr>
      <t>3</t>
    </r>
    <r>
      <rPr>
        <sz val="11"/>
        <rFont val="Calibri"/>
        <family val="2"/>
        <scheme val="minor"/>
      </rPr>
      <t>/h y 5 kW)</t>
    </r>
  </si>
  <si>
    <r>
      <t>Soplantes (250 m</t>
    </r>
    <r>
      <rPr>
        <vertAlign val="superscript"/>
        <sz val="11"/>
        <rFont val="Calibri"/>
        <family val="2"/>
        <scheme val="minor"/>
      </rPr>
      <t>3</t>
    </r>
    <r>
      <rPr>
        <sz val="11"/>
        <rFont val="Calibri"/>
        <family val="2"/>
        <scheme val="minor"/>
      </rPr>
      <t>/h y 7,5 kW)</t>
    </r>
  </si>
  <si>
    <r>
      <t>Soplantes (500 m</t>
    </r>
    <r>
      <rPr>
        <vertAlign val="superscript"/>
        <sz val="11"/>
        <rFont val="Calibri"/>
        <family val="2"/>
        <scheme val="minor"/>
      </rPr>
      <t>3</t>
    </r>
    <r>
      <rPr>
        <sz val="11"/>
        <rFont val="Calibri"/>
        <family val="2"/>
        <scheme val="minor"/>
      </rPr>
      <t>/h y 11 kW)</t>
    </r>
  </si>
  <si>
    <r>
      <t>Soplantes (1000 m</t>
    </r>
    <r>
      <rPr>
        <vertAlign val="superscript"/>
        <sz val="11"/>
        <rFont val="Calibri"/>
        <family val="2"/>
        <scheme val="minor"/>
      </rPr>
      <t>3</t>
    </r>
    <r>
      <rPr>
        <sz val="11"/>
        <rFont val="Calibri"/>
        <family val="2"/>
        <scheme val="minor"/>
      </rPr>
      <t>/h y 22 kW)</t>
    </r>
  </si>
  <si>
    <r>
      <t>Soplantes (1500 m</t>
    </r>
    <r>
      <rPr>
        <vertAlign val="superscript"/>
        <sz val="11"/>
        <rFont val="Calibri"/>
        <family val="2"/>
        <scheme val="minor"/>
      </rPr>
      <t>3</t>
    </r>
    <r>
      <rPr>
        <sz val="11"/>
        <rFont val="Calibri"/>
        <family val="2"/>
        <scheme val="minor"/>
      </rPr>
      <t>/h y 35 kW)</t>
    </r>
  </si>
  <si>
    <r>
      <t>Soplantes (2000 m</t>
    </r>
    <r>
      <rPr>
        <vertAlign val="superscript"/>
        <sz val="11"/>
        <rFont val="Calibri"/>
        <family val="2"/>
        <scheme val="minor"/>
      </rPr>
      <t>3</t>
    </r>
    <r>
      <rPr>
        <sz val="11"/>
        <rFont val="Calibri"/>
        <family val="2"/>
        <scheme val="minor"/>
      </rPr>
      <t>/h y 45 kW)</t>
    </r>
  </si>
  <si>
    <r>
      <t>Soplantes (3500m</t>
    </r>
    <r>
      <rPr>
        <vertAlign val="superscript"/>
        <sz val="11"/>
        <rFont val="Calibri"/>
        <family val="2"/>
        <scheme val="minor"/>
      </rPr>
      <t>3</t>
    </r>
    <r>
      <rPr>
        <sz val="11"/>
        <rFont val="Calibri"/>
        <family val="2"/>
        <scheme val="minor"/>
      </rPr>
      <t>/h y 75 kW)</t>
    </r>
  </si>
  <si>
    <t>Tuberías de aire (80 mmՓ)</t>
  </si>
  <si>
    <t>ml</t>
  </si>
  <si>
    <t>Tuberías de aire (100 mmՓ)</t>
  </si>
  <si>
    <t>Tuberías de aire (150 mmՓ)</t>
  </si>
  <si>
    <t>Tuberías de aire (200 mmՓ)</t>
  </si>
  <si>
    <t>Tuberías de aire (250 mmՓ)</t>
  </si>
  <si>
    <t>Tuberías de aire (300 mmՓ)</t>
  </si>
  <si>
    <r>
      <t>Puente decantador (6 m</t>
    </r>
    <r>
      <rPr>
        <sz val="11"/>
        <rFont val="Calibri"/>
        <family val="2"/>
      </rPr>
      <t>Փ</t>
    </r>
    <r>
      <rPr>
        <sz val="11"/>
        <rFont val="Calibri"/>
        <family val="2"/>
        <scheme val="minor"/>
      </rPr>
      <t>)</t>
    </r>
  </si>
  <si>
    <r>
      <t>Puente decantador (8m</t>
    </r>
    <r>
      <rPr>
        <sz val="11"/>
        <rFont val="Calibri"/>
        <family val="2"/>
      </rPr>
      <t>Փ</t>
    </r>
    <r>
      <rPr>
        <sz val="11"/>
        <rFont val="Calibri"/>
        <family val="2"/>
        <scheme val="minor"/>
      </rPr>
      <t>)</t>
    </r>
  </si>
  <si>
    <r>
      <t>Puente decantador (10 m</t>
    </r>
    <r>
      <rPr>
        <sz val="11"/>
        <rFont val="Calibri"/>
        <family val="2"/>
      </rPr>
      <t>Փ</t>
    </r>
    <r>
      <rPr>
        <sz val="11"/>
        <rFont val="Calibri"/>
        <family val="2"/>
        <scheme val="minor"/>
      </rPr>
      <t>)</t>
    </r>
  </si>
  <si>
    <r>
      <t>Puente decantador (12 m</t>
    </r>
    <r>
      <rPr>
        <sz val="11"/>
        <rFont val="Calibri"/>
        <family val="2"/>
      </rPr>
      <t>Փ</t>
    </r>
    <r>
      <rPr>
        <sz val="11"/>
        <rFont val="Calibri"/>
        <family val="2"/>
        <scheme val="minor"/>
      </rPr>
      <t>)</t>
    </r>
  </si>
  <si>
    <r>
      <t>Puente decantador (16 m</t>
    </r>
    <r>
      <rPr>
        <sz val="11"/>
        <rFont val="Calibri"/>
        <family val="2"/>
      </rPr>
      <t>Փ</t>
    </r>
    <r>
      <rPr>
        <sz val="11"/>
        <rFont val="Calibri"/>
        <family val="2"/>
        <scheme val="minor"/>
      </rPr>
      <t>)</t>
    </r>
  </si>
  <si>
    <r>
      <t>Puente decantador (20 m</t>
    </r>
    <r>
      <rPr>
        <sz val="11"/>
        <rFont val="Calibri"/>
        <family val="2"/>
      </rPr>
      <t>Փ</t>
    </r>
    <r>
      <rPr>
        <sz val="11"/>
        <rFont val="Calibri"/>
        <family val="2"/>
        <scheme val="minor"/>
      </rPr>
      <t>)</t>
    </r>
  </si>
  <si>
    <r>
      <t>Puente decantador (30 m</t>
    </r>
    <r>
      <rPr>
        <sz val="11"/>
        <rFont val="Calibri"/>
        <family val="2"/>
      </rPr>
      <t>Փ</t>
    </r>
    <r>
      <rPr>
        <sz val="11"/>
        <rFont val="Calibri"/>
        <family val="2"/>
        <scheme val="minor"/>
      </rPr>
      <t>)</t>
    </r>
  </si>
  <si>
    <t>Decantador estático (3 mՓ)</t>
  </si>
  <si>
    <t>Decantador estático (4 mՓ)</t>
  </si>
  <si>
    <t>Decantador estático (5 mՓ)</t>
  </si>
  <si>
    <t>Decantador estático (6 mՓ)</t>
  </si>
  <si>
    <t>Instrumentación y control de lodos activados (1 reactor)</t>
  </si>
  <si>
    <t>Instrumentación y control de lodos activados (2 reactor)</t>
  </si>
  <si>
    <t>Instrumentación y control de lodos activados (3 reactor)</t>
  </si>
  <si>
    <t>Automatización filtros de arena (nº filtros 2)</t>
  </si>
  <si>
    <t>Automatización filtros de arena (nº filtros 3)</t>
  </si>
  <si>
    <t>Automatización filtros de arena (nº filtros 4)</t>
  </si>
  <si>
    <t>Automatización filtros de arena (nº filtros 5)</t>
  </si>
  <si>
    <t>Automatización filtros de arena (nº filtros 6)</t>
  </si>
  <si>
    <t>Automatización filtros de arena (nº filtros 7)</t>
  </si>
  <si>
    <t>Dépositos de reactivos (1000 L)</t>
  </si>
  <si>
    <t>Dépositos de reactivos (2500 L)</t>
  </si>
  <si>
    <t>Dépositos de reactivos (5000 L)</t>
  </si>
  <si>
    <t>Dépositos de reactivos (10000 L)</t>
  </si>
  <si>
    <t>Dépositos de reactivos (20000 L)</t>
  </si>
  <si>
    <t>Tuberías de distribución (75 mm)</t>
  </si>
  <si>
    <t>Tuberías de distribución (100 mm)</t>
  </si>
  <si>
    <t>Tuberías de distribución (150 mm)</t>
  </si>
  <si>
    <r>
      <t>Antorcha (20 m</t>
    </r>
    <r>
      <rPr>
        <vertAlign val="superscript"/>
        <sz val="11"/>
        <rFont val="Calibri"/>
        <family val="2"/>
        <scheme val="minor"/>
      </rPr>
      <t>3</t>
    </r>
    <r>
      <rPr>
        <sz val="11"/>
        <rFont val="Calibri"/>
        <family val="2"/>
        <scheme val="minor"/>
      </rPr>
      <t>/h)</t>
    </r>
  </si>
  <si>
    <r>
      <t>Antorcha (40 m</t>
    </r>
    <r>
      <rPr>
        <vertAlign val="superscript"/>
        <sz val="11"/>
        <rFont val="Calibri"/>
        <family val="2"/>
        <scheme val="minor"/>
      </rPr>
      <t>3</t>
    </r>
    <r>
      <rPr>
        <sz val="11"/>
        <rFont val="Calibri"/>
        <family val="2"/>
        <scheme val="minor"/>
      </rPr>
      <t>/h)</t>
    </r>
  </si>
  <si>
    <r>
      <t>Antorcha (60 m</t>
    </r>
    <r>
      <rPr>
        <vertAlign val="superscript"/>
        <sz val="11"/>
        <rFont val="Calibri"/>
        <family val="2"/>
        <scheme val="minor"/>
      </rPr>
      <t>3</t>
    </r>
    <r>
      <rPr>
        <sz val="11"/>
        <rFont val="Calibri"/>
        <family val="2"/>
        <scheme val="minor"/>
      </rPr>
      <t>/h)</t>
    </r>
  </si>
  <si>
    <r>
      <t>Antorcha (80 m</t>
    </r>
    <r>
      <rPr>
        <vertAlign val="superscript"/>
        <sz val="11"/>
        <rFont val="Calibri"/>
        <family val="2"/>
        <scheme val="minor"/>
      </rPr>
      <t>3</t>
    </r>
    <r>
      <rPr>
        <sz val="11"/>
        <rFont val="Calibri"/>
        <family val="2"/>
        <scheme val="minor"/>
      </rPr>
      <t>/h)</t>
    </r>
  </si>
  <si>
    <t>Domos disfusores (desarenador)</t>
  </si>
  <si>
    <t>Domos difusores (biológico)</t>
  </si>
  <si>
    <t>Canal Parshall (2")</t>
  </si>
  <si>
    <t>Canal Parshall (3")</t>
  </si>
  <si>
    <t>Canal Parshall (6")</t>
  </si>
  <si>
    <t>Canal Parshall (9")</t>
  </si>
  <si>
    <t>Canal Parshall (12")</t>
  </si>
  <si>
    <t>Canal Parshall (18")</t>
  </si>
  <si>
    <t>Válvulas manuales (80 mm)</t>
  </si>
  <si>
    <t>Válvulas manuales (100 mm)</t>
  </si>
  <si>
    <t>Válvulas manuales (200 mm)</t>
  </si>
  <si>
    <t>Válvulas manuales (300 mm)</t>
  </si>
  <si>
    <t>Válvulas manuales (400 mm)</t>
  </si>
  <si>
    <t>Válvulas manuales (500 mm)</t>
  </si>
  <si>
    <t>Válvulas automáticas (80 mm)</t>
  </si>
  <si>
    <t>Válvulas  automáticas (100 mm)</t>
  </si>
  <si>
    <t>Válvulas automáticas (200 mm)</t>
  </si>
  <si>
    <t>Válvulas automáticas (300 mm)</t>
  </si>
  <si>
    <t>Válvulas automáticas (400 mm)</t>
  </si>
  <si>
    <t>Válvulas automáticas (500 mm)</t>
  </si>
  <si>
    <r>
      <t>Bomba sumergida (1-2 m</t>
    </r>
    <r>
      <rPr>
        <vertAlign val="superscript"/>
        <sz val="11"/>
        <rFont val="Calibri"/>
        <family val="2"/>
        <scheme val="minor"/>
      </rPr>
      <t>3</t>
    </r>
    <r>
      <rPr>
        <sz val="11"/>
        <rFont val="Calibri"/>
        <family val="2"/>
        <scheme val="minor"/>
      </rPr>
      <t>/h y 3 m)</t>
    </r>
  </si>
  <si>
    <r>
      <t>Bomba sumergida (5 m</t>
    </r>
    <r>
      <rPr>
        <vertAlign val="superscript"/>
        <sz val="11"/>
        <rFont val="Calibri"/>
        <family val="2"/>
        <scheme val="minor"/>
      </rPr>
      <t>3</t>
    </r>
    <r>
      <rPr>
        <sz val="11"/>
        <rFont val="Calibri"/>
        <family val="2"/>
        <scheme val="minor"/>
      </rPr>
      <t>/h y 10 m)</t>
    </r>
  </si>
  <si>
    <r>
      <t>Bomba sumergida (10 m</t>
    </r>
    <r>
      <rPr>
        <vertAlign val="superscript"/>
        <sz val="11"/>
        <rFont val="Calibri"/>
        <family val="2"/>
        <scheme val="minor"/>
      </rPr>
      <t>3</t>
    </r>
    <r>
      <rPr>
        <sz val="11"/>
        <rFont val="Calibri"/>
        <family val="2"/>
        <scheme val="minor"/>
      </rPr>
      <t>/h y 5 m)</t>
    </r>
  </si>
  <si>
    <r>
      <t>Bomba sumergida (10 m</t>
    </r>
    <r>
      <rPr>
        <vertAlign val="superscript"/>
        <sz val="11"/>
        <rFont val="Calibri"/>
        <family val="2"/>
        <scheme val="minor"/>
      </rPr>
      <t>3</t>
    </r>
    <r>
      <rPr>
        <sz val="11"/>
        <rFont val="Calibri"/>
        <family val="2"/>
        <scheme val="minor"/>
      </rPr>
      <t>/h y 10 m)</t>
    </r>
  </si>
  <si>
    <r>
      <t>Bomba sumergida (10 m</t>
    </r>
    <r>
      <rPr>
        <vertAlign val="superscript"/>
        <sz val="11"/>
        <rFont val="Calibri"/>
        <family val="2"/>
        <scheme val="minor"/>
      </rPr>
      <t>3</t>
    </r>
    <r>
      <rPr>
        <sz val="11"/>
        <rFont val="Calibri"/>
        <family val="2"/>
        <scheme val="minor"/>
      </rPr>
      <t>/h y 20 m)</t>
    </r>
  </si>
  <si>
    <r>
      <t>Bomba sumergida (50 m</t>
    </r>
    <r>
      <rPr>
        <vertAlign val="superscript"/>
        <sz val="11"/>
        <rFont val="Calibri"/>
        <family val="2"/>
        <scheme val="minor"/>
      </rPr>
      <t>3</t>
    </r>
    <r>
      <rPr>
        <sz val="11"/>
        <rFont val="Calibri"/>
        <family val="2"/>
        <scheme val="minor"/>
      </rPr>
      <t>/h y 5 m)</t>
    </r>
  </si>
  <si>
    <r>
      <t>Bomba sumergida (50 m</t>
    </r>
    <r>
      <rPr>
        <vertAlign val="superscript"/>
        <sz val="11"/>
        <rFont val="Calibri"/>
        <family val="2"/>
        <scheme val="minor"/>
      </rPr>
      <t>3</t>
    </r>
    <r>
      <rPr>
        <sz val="11"/>
        <rFont val="Calibri"/>
        <family val="2"/>
        <scheme val="minor"/>
      </rPr>
      <t>/h y 10 m)</t>
    </r>
  </si>
  <si>
    <r>
      <t>Bomba sumergida (50 m</t>
    </r>
    <r>
      <rPr>
        <vertAlign val="superscript"/>
        <sz val="11"/>
        <rFont val="Calibri"/>
        <family val="2"/>
        <scheme val="minor"/>
      </rPr>
      <t>3</t>
    </r>
    <r>
      <rPr>
        <sz val="11"/>
        <rFont val="Calibri"/>
        <family val="2"/>
        <scheme val="minor"/>
      </rPr>
      <t>/h y 20 m)</t>
    </r>
  </si>
  <si>
    <r>
      <t>Bomba sumergida (100 m</t>
    </r>
    <r>
      <rPr>
        <vertAlign val="superscript"/>
        <sz val="11"/>
        <rFont val="Calibri"/>
        <family val="2"/>
        <scheme val="minor"/>
      </rPr>
      <t>3</t>
    </r>
    <r>
      <rPr>
        <sz val="11"/>
        <rFont val="Calibri"/>
        <family val="2"/>
        <scheme val="minor"/>
      </rPr>
      <t>/h y 5 m)</t>
    </r>
  </si>
  <si>
    <r>
      <t>Bomba sumergida (100 m</t>
    </r>
    <r>
      <rPr>
        <vertAlign val="superscript"/>
        <sz val="11"/>
        <rFont val="Calibri"/>
        <family val="2"/>
        <scheme val="minor"/>
      </rPr>
      <t>3</t>
    </r>
    <r>
      <rPr>
        <sz val="11"/>
        <rFont val="Calibri"/>
        <family val="2"/>
        <scheme val="minor"/>
      </rPr>
      <t>/h y 10 m)</t>
    </r>
  </si>
  <si>
    <r>
      <t>Bomba sumergida (100 m</t>
    </r>
    <r>
      <rPr>
        <vertAlign val="superscript"/>
        <sz val="11"/>
        <rFont val="Calibri"/>
        <family val="2"/>
        <scheme val="minor"/>
      </rPr>
      <t>3</t>
    </r>
    <r>
      <rPr>
        <sz val="11"/>
        <rFont val="Calibri"/>
        <family val="2"/>
        <scheme val="minor"/>
      </rPr>
      <t>/h y 20 m)</t>
    </r>
  </si>
  <si>
    <r>
      <t>Bomba sumergida (200 m</t>
    </r>
    <r>
      <rPr>
        <vertAlign val="superscript"/>
        <sz val="11"/>
        <rFont val="Calibri"/>
        <family val="2"/>
        <scheme val="minor"/>
      </rPr>
      <t>3</t>
    </r>
    <r>
      <rPr>
        <sz val="11"/>
        <rFont val="Calibri"/>
        <family val="2"/>
        <scheme val="minor"/>
      </rPr>
      <t>/h y 5 m)</t>
    </r>
  </si>
  <si>
    <r>
      <rPr>
        <sz val="11"/>
        <color rgb="FF000000"/>
        <rFont val="Calibri"/>
        <family val="2"/>
      </rPr>
      <t>Bomba sumergida (200 m</t>
    </r>
    <r>
      <rPr>
        <vertAlign val="superscript"/>
        <sz val="11"/>
        <color rgb="FF000000"/>
        <rFont val="Calibri"/>
        <family val="2"/>
      </rPr>
      <t>3</t>
    </r>
    <r>
      <rPr>
        <sz val="11"/>
        <color rgb="FF000000"/>
        <rFont val="Calibri"/>
        <family val="2"/>
      </rPr>
      <t>/h y 10 m)</t>
    </r>
  </si>
  <si>
    <r>
      <t>Bomba sumergida (200 m</t>
    </r>
    <r>
      <rPr>
        <vertAlign val="superscript"/>
        <sz val="11"/>
        <rFont val="Calibri"/>
        <family val="2"/>
        <scheme val="minor"/>
      </rPr>
      <t>3</t>
    </r>
    <r>
      <rPr>
        <sz val="11"/>
        <rFont val="Calibri"/>
        <family val="2"/>
        <scheme val="minor"/>
      </rPr>
      <t>/h y 20 m)</t>
    </r>
  </si>
  <si>
    <r>
      <t>Bomba sumergida (400 m</t>
    </r>
    <r>
      <rPr>
        <vertAlign val="superscript"/>
        <sz val="11"/>
        <rFont val="Calibri"/>
        <family val="2"/>
        <scheme val="minor"/>
      </rPr>
      <t>3</t>
    </r>
    <r>
      <rPr>
        <sz val="11"/>
        <rFont val="Calibri"/>
        <family val="2"/>
        <scheme val="minor"/>
      </rPr>
      <t>/h y 5 m)</t>
    </r>
  </si>
  <si>
    <r>
      <t>Bomba sumergida (400 m</t>
    </r>
    <r>
      <rPr>
        <vertAlign val="superscript"/>
        <sz val="11"/>
        <rFont val="Calibri"/>
        <family val="2"/>
        <scheme val="minor"/>
      </rPr>
      <t>3</t>
    </r>
    <r>
      <rPr>
        <sz val="11"/>
        <rFont val="Calibri"/>
        <family val="2"/>
        <scheme val="minor"/>
      </rPr>
      <t>/h y 10 m)</t>
    </r>
  </si>
  <si>
    <r>
      <t>Bomba sumergida (400 m</t>
    </r>
    <r>
      <rPr>
        <vertAlign val="superscript"/>
        <sz val="11"/>
        <rFont val="Calibri"/>
        <family val="2"/>
        <scheme val="minor"/>
      </rPr>
      <t>3</t>
    </r>
    <r>
      <rPr>
        <sz val="11"/>
        <rFont val="Calibri"/>
        <family val="2"/>
        <scheme val="minor"/>
      </rPr>
      <t>/h y 20 m)</t>
    </r>
  </si>
  <si>
    <r>
      <t>Bomba sumergida (800 m</t>
    </r>
    <r>
      <rPr>
        <vertAlign val="superscript"/>
        <sz val="11"/>
        <rFont val="Calibri"/>
        <family val="2"/>
        <scheme val="minor"/>
      </rPr>
      <t>3</t>
    </r>
    <r>
      <rPr>
        <sz val="11"/>
        <rFont val="Calibri"/>
        <family val="2"/>
        <scheme val="minor"/>
      </rPr>
      <t>/h y 5 m)</t>
    </r>
  </si>
  <si>
    <r>
      <t>Bomba sumergida (800 m</t>
    </r>
    <r>
      <rPr>
        <vertAlign val="superscript"/>
        <sz val="11"/>
        <rFont val="Calibri"/>
        <family val="2"/>
        <scheme val="minor"/>
      </rPr>
      <t>3</t>
    </r>
    <r>
      <rPr>
        <sz val="11"/>
        <rFont val="Calibri"/>
        <family val="2"/>
        <scheme val="minor"/>
      </rPr>
      <t>/h y 10 m)</t>
    </r>
  </si>
  <si>
    <r>
      <t>Bomba sumergida (800 m</t>
    </r>
    <r>
      <rPr>
        <vertAlign val="superscript"/>
        <sz val="11"/>
        <rFont val="Calibri"/>
        <family val="2"/>
        <scheme val="minor"/>
      </rPr>
      <t>3</t>
    </r>
    <r>
      <rPr>
        <sz val="11"/>
        <rFont val="Calibri"/>
        <family val="2"/>
        <scheme val="minor"/>
      </rPr>
      <t>/h y 20 m)</t>
    </r>
  </si>
  <si>
    <t>Bomba dosificadora (60 m y 10 L/h)</t>
  </si>
  <si>
    <t>Bomba dosificadora (60 m Y 25 L/h)</t>
  </si>
  <si>
    <t>Bomba dosificadora (60 m Y 50 L/h)</t>
  </si>
  <si>
    <t>Bomba dosificadora (60 m Y 100 L/h)</t>
  </si>
  <si>
    <t>Bomba dosificadora (60 m Y 150 L/h)</t>
  </si>
  <si>
    <r>
      <t>Bomba de arena (2 m</t>
    </r>
    <r>
      <rPr>
        <vertAlign val="superscript"/>
        <sz val="11"/>
        <rFont val="Calibri"/>
        <family val="2"/>
        <scheme val="minor"/>
      </rPr>
      <t>3</t>
    </r>
    <r>
      <rPr>
        <sz val="11"/>
        <rFont val="Calibri"/>
        <family val="2"/>
        <scheme val="minor"/>
      </rPr>
      <t>/h y 3 m)</t>
    </r>
  </si>
  <si>
    <r>
      <t>Bomba de arena (5 m</t>
    </r>
    <r>
      <rPr>
        <vertAlign val="superscript"/>
        <sz val="11"/>
        <rFont val="Calibri"/>
        <family val="2"/>
        <scheme val="minor"/>
      </rPr>
      <t>3</t>
    </r>
    <r>
      <rPr>
        <sz val="11"/>
        <rFont val="Calibri"/>
        <family val="2"/>
        <scheme val="minor"/>
      </rPr>
      <t>/h y 3 m)</t>
    </r>
  </si>
  <si>
    <r>
      <t>Bomba de arena (10 m</t>
    </r>
    <r>
      <rPr>
        <vertAlign val="superscript"/>
        <sz val="11"/>
        <rFont val="Calibri"/>
        <family val="2"/>
        <scheme val="minor"/>
      </rPr>
      <t>3</t>
    </r>
    <r>
      <rPr>
        <sz val="11"/>
        <rFont val="Calibri"/>
        <family val="2"/>
        <scheme val="minor"/>
      </rPr>
      <t>/h y 3 m)</t>
    </r>
  </si>
  <si>
    <r>
      <t>Bomba de arena (15 m</t>
    </r>
    <r>
      <rPr>
        <vertAlign val="superscript"/>
        <sz val="11"/>
        <rFont val="Calibri"/>
        <family val="2"/>
        <scheme val="minor"/>
      </rPr>
      <t>3</t>
    </r>
    <r>
      <rPr>
        <sz val="11"/>
        <rFont val="Calibri"/>
        <family val="2"/>
        <scheme val="minor"/>
      </rPr>
      <t>/h y 3 m)</t>
    </r>
  </si>
  <si>
    <r>
      <t>Clasificador de arenas (5 m</t>
    </r>
    <r>
      <rPr>
        <vertAlign val="superscript"/>
        <sz val="11"/>
        <rFont val="Calibri"/>
        <family val="2"/>
        <scheme val="minor"/>
      </rPr>
      <t>3</t>
    </r>
    <r>
      <rPr>
        <sz val="11"/>
        <rFont val="Calibri"/>
        <family val="2"/>
        <scheme val="minor"/>
      </rPr>
      <t>/h)</t>
    </r>
  </si>
  <si>
    <r>
      <t>Clasificador de arenas (10 m</t>
    </r>
    <r>
      <rPr>
        <vertAlign val="superscript"/>
        <sz val="11"/>
        <rFont val="Calibri"/>
        <family val="2"/>
        <scheme val="minor"/>
      </rPr>
      <t>3</t>
    </r>
    <r>
      <rPr>
        <sz val="11"/>
        <rFont val="Calibri"/>
        <family val="2"/>
        <scheme val="minor"/>
      </rPr>
      <t>/h)</t>
    </r>
  </si>
  <si>
    <r>
      <t>Clasificador de arenas (15 m</t>
    </r>
    <r>
      <rPr>
        <vertAlign val="superscript"/>
        <sz val="11"/>
        <rFont val="Calibri"/>
        <family val="2"/>
        <scheme val="minor"/>
      </rPr>
      <t>3</t>
    </r>
    <r>
      <rPr>
        <sz val="11"/>
        <rFont val="Calibri"/>
        <family val="2"/>
        <scheme val="minor"/>
      </rPr>
      <t>/h)</t>
    </r>
  </si>
  <si>
    <r>
      <t>Separador de grasas (2 m</t>
    </r>
    <r>
      <rPr>
        <vertAlign val="superscript"/>
        <sz val="11"/>
        <rFont val="Calibri"/>
        <family val="2"/>
        <scheme val="minor"/>
      </rPr>
      <t>3</t>
    </r>
    <r>
      <rPr>
        <sz val="11"/>
        <rFont val="Calibri"/>
        <family val="2"/>
        <scheme val="minor"/>
      </rPr>
      <t>/h)</t>
    </r>
  </si>
  <si>
    <r>
      <t>Separador de grasas (5 m</t>
    </r>
    <r>
      <rPr>
        <vertAlign val="superscript"/>
        <sz val="11"/>
        <rFont val="Calibri"/>
        <family val="2"/>
        <scheme val="minor"/>
      </rPr>
      <t>3</t>
    </r>
    <r>
      <rPr>
        <sz val="11"/>
        <rFont val="Calibri"/>
        <family val="2"/>
        <scheme val="minor"/>
      </rPr>
      <t>/h)</t>
    </r>
  </si>
  <si>
    <r>
      <t>Separador de grasas (10 m</t>
    </r>
    <r>
      <rPr>
        <vertAlign val="superscript"/>
        <sz val="11"/>
        <rFont val="Calibri"/>
        <family val="2"/>
        <scheme val="minor"/>
      </rPr>
      <t>3</t>
    </r>
    <r>
      <rPr>
        <sz val="11"/>
        <rFont val="Calibri"/>
        <family val="2"/>
        <scheme val="minor"/>
      </rPr>
      <t>/h)</t>
    </r>
  </si>
  <si>
    <t xml:space="preserve">Brazo lecho percolador </t>
  </si>
  <si>
    <t>Motor (0,5 kW)</t>
  </si>
  <si>
    <t>Motor (1 kW)</t>
  </si>
  <si>
    <t>Motor (1,5 kW)</t>
  </si>
  <si>
    <t>Relleno lecho percolador plástico</t>
  </si>
  <si>
    <r>
      <t>m</t>
    </r>
    <r>
      <rPr>
        <vertAlign val="superscript"/>
        <sz val="11"/>
        <rFont val="Calibri"/>
        <family val="2"/>
        <scheme val="minor"/>
      </rPr>
      <t>3</t>
    </r>
  </si>
  <si>
    <t>Relleno lecho percolador piedra</t>
  </si>
  <si>
    <t>Arena de relleno</t>
  </si>
  <si>
    <t>MEDIDOR DE NIVEL ULTRASÓNICO</t>
  </si>
  <si>
    <t>REJA MANUAL (PASO 50 mm y X x X m)</t>
  </si>
  <si>
    <t>Contenedor de 0,3 m3</t>
  </si>
  <si>
    <t>Contenedor de 1 m3</t>
  </si>
  <si>
    <t>Contenedor de 5 m3</t>
  </si>
  <si>
    <t>REJA DE GRUESOS AUTOMÁTICAS (0,3 x 0,7 m)</t>
  </si>
  <si>
    <t>REJA DE GRUESOS AUTOMÁTICAS (0,5 x 0,7 m)</t>
  </si>
  <si>
    <t>REJA DE GRUESOS AUTOMÁTICAS  (0,5 x 1 m)</t>
  </si>
  <si>
    <t>REJA DE GRUESOS AUTOMÁTICAS  (0,75 x 1 m)</t>
  </si>
  <si>
    <t>REJA  DE GRUESOS MANUAL (0,5 x 0,7 m)</t>
  </si>
  <si>
    <t>REJA  DE GRUESOS MANUAL (0,5 x 1 m)</t>
  </si>
  <si>
    <t>REJA  DE GRUESOS MANUAL (0,75 x 1 m)</t>
  </si>
  <si>
    <t>REJA DE FINOS AUTOMÁTICAS (0,3 x 0,7 m)</t>
  </si>
  <si>
    <t>REJA DE FINOS AUTOMÁTICAS (0,5 x 0,7 m)</t>
  </si>
  <si>
    <t>REJA DE FINOS AUTOMÁTICAS  (0,5 x 1 m)</t>
  </si>
  <si>
    <t>REJA DE FINOS AUTOMÁTICAS  (0,75 x 1 m)</t>
  </si>
  <si>
    <t>REJA DE FINOS MANUAL (0,5 x 0,7 m)</t>
  </si>
  <si>
    <t>REJA DE FINOS MANUAL (0,5 x 1 m)</t>
  </si>
  <si>
    <t>REJA DE FINOS MANUAL (0,75 x 1 m)</t>
  </si>
  <si>
    <t>SISTEMA DE TRANSPORTE (3,2 m)</t>
  </si>
  <si>
    <t>SISTEMA DE TRANSPORTE (3,7 m)</t>
  </si>
  <si>
    <t>SISTEMA DE TRANSPORTE (4,7 m)</t>
  </si>
  <si>
    <t>PUENTE DESARENADOR (L= 2,0 m)</t>
  </si>
  <si>
    <t>PUENTE DESARENADOR (L= 3,0 m)</t>
  </si>
  <si>
    <t>PUENTE DESARENADOR (L= 4,0 m)</t>
  </si>
  <si>
    <t xml:space="preserve">SEPARADOR TRIFÁSICO </t>
  </si>
  <si>
    <t>Formato esquemas</t>
  </si>
  <si>
    <t>Tipologías</t>
  </si>
  <si>
    <t>1- Tierra bajo nivel freático, llano</t>
  </si>
  <si>
    <t>2- Tierra bajo nivel freático, pendiente suave</t>
  </si>
  <si>
    <t>3- Tierra bajo nivel freático, pendiente fuerte</t>
  </si>
  <si>
    <t>4- Roca bajo nivel freático, llano</t>
  </si>
  <si>
    <t xml:space="preserve">5- Roca bajo nivel freático, pendiente suave </t>
  </si>
  <si>
    <t xml:space="preserve">6- Roca bajo nivel freático, pendiente fuerte </t>
  </si>
  <si>
    <t>7- Tierra alto nivel freático, llano</t>
  </si>
  <si>
    <t>www.generadordeprecios.info</t>
  </si>
  <si>
    <t>www.certicalia.com/blog/</t>
  </si>
  <si>
    <r>
      <t xml:space="preserve"> </t>
    </r>
    <r>
      <rPr>
        <sz val="11"/>
        <rFont val="Calibri"/>
        <family val="2"/>
        <scheme val="minor"/>
      </rPr>
      <t>Criterio/Recomendación CEDEX</t>
    </r>
  </si>
  <si>
    <r>
      <t>≈ 10</t>
    </r>
    <r>
      <rPr>
        <sz val="11"/>
        <color theme="5"/>
        <rFont val="Calibri"/>
        <family val="2"/>
      </rPr>
      <t xml:space="preserve"> (CD)</t>
    </r>
  </si>
  <si>
    <t>El hormigón requerido para el reparto iría incluido en la partida Hormigón arquetas</t>
  </si>
  <si>
    <r>
      <rPr>
        <sz val="11"/>
        <color rgb="FF000000"/>
        <rFont val="Calibri"/>
        <family val="2"/>
      </rPr>
      <t>≈ 0,5 mg/L</t>
    </r>
    <r>
      <rPr>
        <sz val="11"/>
        <color rgb="FFED7D31"/>
        <rFont val="Calibri"/>
        <family val="2"/>
      </rPr>
      <t xml:space="preserve"> (CD)</t>
    </r>
  </si>
  <si>
    <r>
      <t xml:space="preserve">(CD) </t>
    </r>
    <r>
      <rPr>
        <i/>
        <sz val="11"/>
        <rFont val="Calibri"/>
        <family val="2"/>
        <scheme val="minor"/>
      </rPr>
      <t>Criterio/Recomendación CEDEX</t>
    </r>
  </si>
  <si>
    <r>
      <t>(CEDEX)</t>
    </r>
    <r>
      <rPr>
        <i/>
        <sz val="11"/>
        <color rgb="FF000000"/>
        <rFont val="Calibri"/>
        <family val="2"/>
      </rPr>
      <t xml:space="preserve">  Documentación de XXXVIII Curso Tratamiento de Aguas Residuales y Explotación de Estaciones Depuradoras de CEDEX (2021)</t>
    </r>
  </si>
  <si>
    <r>
      <rPr>
        <i/>
        <sz val="11"/>
        <color rgb="FFED7D31"/>
        <rFont val="Calibri"/>
        <family val="2"/>
      </rPr>
      <t xml:space="preserve">(M&amp;E) </t>
    </r>
    <r>
      <rPr>
        <i/>
        <sz val="11"/>
        <color rgb="FF000000"/>
        <rFont val="Calibri"/>
        <family val="2"/>
      </rPr>
      <t>Metcalf &amp; Eddy Wastewater Engineering, 5th edition (2014)</t>
    </r>
  </si>
  <si>
    <t>Para la aireación se consideran difusores porosos de burbuja fina</t>
  </si>
  <si>
    <t>F (colmatación difusor)</t>
  </si>
  <si>
    <r>
      <rPr>
        <sz val="11"/>
        <rFont val="Calibri"/>
        <family val="2"/>
        <scheme val="minor"/>
      </rPr>
      <t>0,8-0,85</t>
    </r>
    <r>
      <rPr>
        <sz val="11"/>
        <color theme="5"/>
        <rFont val="Calibri"/>
        <family val="2"/>
        <scheme val="minor"/>
      </rPr>
      <t xml:space="preserve"> (CEDEX T 12 p 27)</t>
    </r>
  </si>
  <si>
    <r>
      <t xml:space="preserve">0,60-0,70  </t>
    </r>
    <r>
      <rPr>
        <sz val="11"/>
        <color theme="5"/>
        <rFont val="Calibri"/>
        <family val="2"/>
      </rPr>
      <t>(CEDEX T 26 p 58)</t>
    </r>
  </si>
  <si>
    <r>
      <t>0,95-1,0</t>
    </r>
    <r>
      <rPr>
        <sz val="11"/>
        <color theme="5"/>
        <rFont val="Calibri"/>
        <family val="2"/>
      </rPr>
      <t xml:space="preserve"> (CEDEX T 12 p 26)</t>
    </r>
  </si>
  <si>
    <t>Densidad del aire</t>
  </si>
  <si>
    <r>
      <rPr>
        <sz val="11"/>
        <rFont val="Calibri"/>
        <family val="2"/>
      </rPr>
      <t xml:space="preserve">≥ 3,5 m </t>
    </r>
    <r>
      <rPr>
        <sz val="11"/>
        <color theme="5"/>
        <rFont val="Calibri"/>
        <family val="2"/>
      </rPr>
      <t>(CD)</t>
    </r>
  </si>
  <si>
    <r>
      <rPr>
        <sz val="11"/>
        <color rgb="FF000000"/>
        <rFont val="Calibri"/>
        <family val="2"/>
      </rPr>
      <t xml:space="preserve">≤ 1,0 m/h </t>
    </r>
    <r>
      <rPr>
        <sz val="11"/>
        <color rgb="FFED7D31"/>
        <rFont val="Calibri"/>
        <family val="2"/>
      </rPr>
      <t>(BOL p 512)</t>
    </r>
  </si>
  <si>
    <t>kW/soplante</t>
  </si>
  <si>
    <t>Se considera para los cálculos un reactor biológico cuadrangular con recirculación, no reactor canal de oxidación</t>
  </si>
  <si>
    <t>Se considera decantador estático rectangular (está hoja está definida para los casos en los que el díametro del decantador dinámico resulte menor a 6 metros)</t>
  </si>
  <si>
    <r>
      <t>La potencia específica de los agitadores será de 4 w/m</t>
    </r>
    <r>
      <rPr>
        <i/>
        <vertAlign val="superscript"/>
        <sz val="11"/>
        <color theme="1"/>
        <rFont val="Calibri"/>
        <family val="2"/>
        <scheme val="minor"/>
      </rPr>
      <t>3</t>
    </r>
    <r>
      <rPr>
        <i/>
        <sz val="11"/>
        <color theme="1"/>
        <rFont val="Calibri"/>
        <family val="2"/>
        <scheme val="minor"/>
      </rPr>
      <t xml:space="preserve"> en las zonas anaerobia, anóxica y facultativa</t>
    </r>
  </si>
  <si>
    <r>
      <t xml:space="preserve">120 kg/Tm hormigón </t>
    </r>
    <r>
      <rPr>
        <sz val="11"/>
        <color rgb="FFED7D31"/>
        <rFont val="Calibri"/>
        <family val="2"/>
        <scheme val="minor"/>
      </rPr>
      <t>(CD)</t>
    </r>
  </si>
  <si>
    <t>Para el reactor se consideran 100 kg acero por Tm hormigón en muros interiores y 120 kg acero por Tm hormigón en muros exteriores</t>
  </si>
  <si>
    <t>Excavación en tierra incremento por taludes 2 m por cada lado. En roca 0,5 metros</t>
  </si>
  <si>
    <r>
      <rPr>
        <sz val="11"/>
        <color rgb="FF000000"/>
        <rFont val="Calibri"/>
        <family val="2"/>
      </rPr>
      <t xml:space="preserve">= Altura obra civil + espesor solera - 1 m </t>
    </r>
    <r>
      <rPr>
        <sz val="11"/>
        <color rgb="FFED7D31"/>
        <rFont val="Calibri"/>
        <family val="2"/>
      </rPr>
      <t>(CD)</t>
    </r>
    <r>
      <rPr>
        <sz val="11"/>
        <color theme="1"/>
        <rFont val="Calibri"/>
        <family val="2"/>
      </rPr>
      <t xml:space="preserve"> ≤ 6,5 m</t>
    </r>
    <r>
      <rPr>
        <sz val="11"/>
        <color theme="5"/>
        <rFont val="Calibri"/>
        <family val="2"/>
      </rPr>
      <t xml:space="preserve"> (CD)</t>
    </r>
  </si>
  <si>
    <t>ESQUEMAS DE PROCESO</t>
  </si>
  <si>
    <t>Edad del lodo del sistema completo</t>
  </si>
  <si>
    <t>Edad del Lodo del sistema completo</t>
  </si>
  <si>
    <t>TABLAS COMPLEMENTARIAS</t>
  </si>
  <si>
    <t>Edad del Lodo de cálculo para zonas óxica y anóxica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</si>
</sst>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quot;Tierra=1&quot;&quot;Roca=2&quot;"/>
    <numFmt numFmtId="166" formatCode="0.0E+00"/>
    <numFmt numFmtId="167" formatCode="0.000"/>
    <numFmt numFmtId="168" formatCode="0.0"/>
    <numFmt numFmtId="169" formatCode="0.0%"/>
    <numFmt numFmtId="170" formatCode="0.0000"/>
    <numFmt numFmtId="171" formatCode="&quot;Exceso sobre el necesario&quot;\ 0&quot; %&quot;"/>
  </numFmts>
  <fonts count="5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color indexed="8"/>
      <name val="Calibri"/>
      <family val="2"/>
      <charset val="1"/>
    </font>
    <font>
      <sz val="11"/>
      <color indexed="8"/>
      <name val="Calibri"/>
      <family val="2"/>
      <scheme val="minor"/>
    </font>
    <font>
      <sz val="11"/>
      <color rgb="FF000000"/>
      <name val="Calibri"/>
      <family val="2"/>
      <scheme val="minor"/>
    </font>
    <font>
      <b/>
      <sz val="11"/>
      <color indexed="8"/>
      <name val="Calibri"/>
      <family val="2"/>
      <scheme val="minor"/>
    </font>
    <font>
      <sz val="11"/>
      <name val="Calibri"/>
      <family val="2"/>
      <scheme val="minor"/>
    </font>
    <font>
      <sz val="11"/>
      <color theme="4" tint="-0.249977111117893"/>
      <name val="Calibri"/>
      <family val="2"/>
      <scheme val="minor"/>
    </font>
    <font>
      <b/>
      <sz val="11"/>
      <name val="Calibri"/>
      <family val="2"/>
      <scheme val="minor"/>
    </font>
    <font>
      <b/>
      <sz val="11"/>
      <color rgb="FFFF0000"/>
      <name val="Calibri"/>
      <family val="2"/>
      <scheme val="minor"/>
    </font>
    <font>
      <b/>
      <sz val="12"/>
      <name val="Calibri"/>
      <family val="2"/>
      <scheme val="minor"/>
    </font>
    <font>
      <sz val="9"/>
      <color theme="1"/>
      <name val="Segoe UI"/>
      <family val="2"/>
    </font>
    <font>
      <sz val="11"/>
      <color theme="5"/>
      <name val="Calibri"/>
      <family val="2"/>
      <scheme val="minor"/>
    </font>
    <font>
      <vertAlign val="superscript"/>
      <sz val="11"/>
      <color theme="1"/>
      <name val="Calibri"/>
      <family val="2"/>
      <scheme val="minor"/>
    </font>
    <font>
      <sz val="9"/>
      <color indexed="81"/>
      <name val="Tahoma"/>
      <family val="2"/>
    </font>
    <font>
      <sz val="11"/>
      <name val="Calibri"/>
      <family val="2"/>
    </font>
    <font>
      <b/>
      <vertAlign val="superscript"/>
      <sz val="11"/>
      <color theme="1"/>
      <name val="Calibri"/>
      <family val="2"/>
      <scheme val="minor"/>
    </font>
    <font>
      <sz val="11"/>
      <color rgb="FF0070C0"/>
      <name val="Calibri"/>
      <family val="2"/>
      <scheme val="minor"/>
    </font>
    <font>
      <sz val="11"/>
      <color theme="1"/>
      <name val="Calibri"/>
      <family val="2"/>
    </font>
    <font>
      <i/>
      <sz val="11"/>
      <color theme="1"/>
      <name val="Calibri"/>
      <family val="2"/>
      <scheme val="minor"/>
    </font>
    <font>
      <vertAlign val="superscript"/>
      <sz val="11"/>
      <name val="Calibri"/>
      <family val="2"/>
      <scheme val="minor"/>
    </font>
    <font>
      <b/>
      <sz val="12"/>
      <name val="Calibri"/>
      <family val="2"/>
    </font>
    <font>
      <sz val="11"/>
      <color rgb="FF444444"/>
      <name val="Calibri"/>
      <family val="2"/>
      <charset val="1"/>
    </font>
    <font>
      <sz val="11"/>
      <color rgb="FF4472C4"/>
      <name val="Calibri"/>
      <family val="2"/>
      <scheme val="minor"/>
    </font>
    <font>
      <sz val="11"/>
      <color rgb="FFED7D31"/>
      <name val="Calibri"/>
      <family val="2"/>
    </font>
    <font>
      <sz val="11"/>
      <color rgb="FF000000"/>
      <name val="Calibri"/>
      <family val="2"/>
    </font>
    <font>
      <vertAlign val="superscript"/>
      <sz val="11"/>
      <color rgb="FF000000"/>
      <name val="Calibri"/>
      <family val="2"/>
    </font>
    <font>
      <i/>
      <sz val="11"/>
      <color rgb="FF000000"/>
      <name val="Calibri"/>
      <family val="2"/>
    </font>
    <font>
      <b/>
      <sz val="11"/>
      <color rgb="FF000000"/>
      <name val="Calibri"/>
      <family val="2"/>
      <scheme val="minor"/>
    </font>
    <font>
      <sz val="11"/>
      <color theme="5"/>
      <name val="Calibri"/>
      <family val="2"/>
    </font>
    <font>
      <b/>
      <i/>
      <sz val="11"/>
      <color rgb="FF000000"/>
      <name val="Calibri"/>
      <family val="2"/>
      <scheme val="minor"/>
    </font>
    <font>
      <vertAlign val="subscript"/>
      <sz val="11"/>
      <color theme="1"/>
      <name val="Calibri"/>
      <family val="2"/>
      <scheme val="minor"/>
    </font>
    <font>
      <vertAlign val="subscript"/>
      <sz val="11"/>
      <color rgb="FF000000"/>
      <name val="Calibri"/>
      <family val="2"/>
    </font>
    <font>
      <b/>
      <sz val="11"/>
      <color rgb="FF000000"/>
      <name val="Calibri"/>
      <family val="2"/>
    </font>
    <font>
      <b/>
      <i/>
      <sz val="11"/>
      <name val="Calibri"/>
      <family val="2"/>
      <scheme val="minor"/>
    </font>
    <font>
      <i/>
      <sz val="11"/>
      <color rgb="FFED7D31"/>
      <name val="Calibri"/>
      <family val="2"/>
      <scheme val="minor"/>
    </font>
    <font>
      <i/>
      <sz val="11"/>
      <name val="Calibri"/>
      <family val="2"/>
      <scheme val="minor"/>
    </font>
    <font>
      <i/>
      <sz val="11"/>
      <color theme="5"/>
      <name val="Calibri"/>
      <family val="2"/>
      <scheme val="minor"/>
    </font>
    <font>
      <sz val="9"/>
      <color theme="1"/>
      <name val="Calibri"/>
      <family val="2"/>
      <scheme val="minor"/>
    </font>
    <font>
      <sz val="11"/>
      <color rgb="FF444444"/>
      <name val="Calibri"/>
      <family val="2"/>
    </font>
    <font>
      <b/>
      <sz val="11"/>
      <color rgb="FFFF0000"/>
      <name val="Calibri"/>
      <family val="2"/>
    </font>
    <font>
      <i/>
      <sz val="11"/>
      <color rgb="FFED7D31"/>
      <name val="Calibri"/>
      <family val="2"/>
    </font>
    <font>
      <b/>
      <sz val="14"/>
      <color rgb="FF000000"/>
      <name val="Calibri"/>
      <family val="2"/>
    </font>
    <font>
      <sz val="14"/>
      <color rgb="FFED7D31"/>
      <name val="Calibri"/>
      <family val="2"/>
    </font>
    <font>
      <b/>
      <sz val="14"/>
      <color theme="1"/>
      <name val="Calibri"/>
      <family val="2"/>
    </font>
    <font>
      <b/>
      <vertAlign val="superscript"/>
      <sz val="11"/>
      <name val="Calibri"/>
      <family val="2"/>
      <scheme val="minor"/>
    </font>
    <font>
      <b/>
      <sz val="9"/>
      <color indexed="81"/>
      <name val="Tahoma"/>
      <family val="2"/>
    </font>
    <font>
      <i/>
      <vertAlign val="superscript"/>
      <sz val="11"/>
      <color theme="1"/>
      <name val="Calibri"/>
      <family val="2"/>
      <scheme val="minor"/>
    </font>
    <font>
      <sz val="11"/>
      <name val="Calibri"/>
      <family val="2"/>
      <charset val="1"/>
    </font>
    <font>
      <sz val="8"/>
      <name val="Calibri"/>
      <family val="2"/>
      <scheme val="minor"/>
    </font>
    <font>
      <sz val="11"/>
      <color rgb="FF00B0F0"/>
      <name val="Calibri"/>
      <family val="2"/>
      <scheme val="minor"/>
    </font>
    <font>
      <sz val="11"/>
      <color theme="4"/>
      <name val="Calibri"/>
      <family val="2"/>
    </font>
    <font>
      <sz val="11"/>
      <color theme="4"/>
      <name val="Calibri"/>
      <family val="2"/>
      <scheme val="minor"/>
    </font>
    <font>
      <sz val="11"/>
      <color rgb="FFED7D31"/>
      <name val="Calibri"/>
      <family val="2"/>
      <scheme val="minor"/>
    </font>
    <font>
      <i/>
      <sz val="11"/>
      <color theme="5"/>
      <name val="Calibri"/>
      <family val="2"/>
    </font>
    <font>
      <b/>
      <i/>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D9E1F2"/>
        <bgColor indexed="64"/>
      </patternFill>
    </fill>
    <fill>
      <patternFill patternType="solid">
        <fgColor rgb="FFD9D9D9"/>
        <bgColor indexed="64"/>
      </patternFill>
    </fill>
    <fill>
      <patternFill patternType="solid">
        <fgColor theme="7" tint="0.79998168889431442"/>
        <bgColor indexed="64"/>
      </patternFill>
    </fill>
  </fills>
  <borders count="17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auto="1"/>
      </left>
      <right style="medium">
        <color indexed="64"/>
      </right>
      <top/>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auto="1"/>
      </left>
      <right style="medium">
        <color indexed="64"/>
      </right>
      <top/>
      <bottom style="medium">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medium">
        <color rgb="FF000000"/>
      </top>
      <bottom style="medium">
        <color indexed="64"/>
      </bottom>
      <diagonal/>
    </border>
    <border>
      <left style="medium">
        <color rgb="FF000000"/>
      </left>
      <right style="thin">
        <color indexed="64"/>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indexed="64"/>
      </left>
      <right/>
      <top style="medium">
        <color rgb="FF000000"/>
      </top>
      <bottom style="medium">
        <color indexed="64"/>
      </bottom>
      <diagonal/>
    </border>
    <border>
      <left style="medium">
        <color rgb="FF000000"/>
      </left>
      <right style="thin">
        <color indexed="64"/>
      </right>
      <top/>
      <bottom style="medium">
        <color auto="1"/>
      </bottom>
      <diagonal/>
    </border>
    <border>
      <left style="medium">
        <color rgb="FF000000"/>
      </left>
      <right/>
      <top/>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diagonal/>
    </border>
    <border>
      <left style="thin">
        <color indexed="64"/>
      </left>
      <right style="thin">
        <color rgb="FF000000"/>
      </right>
      <top/>
      <bottom/>
      <diagonal/>
    </border>
    <border>
      <left/>
      <right style="medium">
        <color rgb="FF000000"/>
      </right>
      <top/>
      <bottom/>
      <diagonal/>
    </border>
    <border>
      <left style="medium">
        <color rgb="FF000000"/>
      </left>
      <right style="thin">
        <color indexed="64"/>
      </right>
      <top style="thin">
        <color rgb="FF000000"/>
      </top>
      <bottom/>
      <diagonal/>
    </border>
    <border>
      <left style="thin">
        <color indexed="64"/>
      </left>
      <right style="thin">
        <color indexed="64"/>
      </right>
      <top style="thin">
        <color rgb="FF000000"/>
      </top>
      <bottom/>
      <diagonal/>
    </border>
    <border>
      <left/>
      <right style="medium">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style="medium">
        <color rgb="FF000000"/>
      </left>
      <right style="thin">
        <color auto="1"/>
      </right>
      <top style="medium">
        <color rgb="FF000000"/>
      </top>
      <bottom/>
      <diagonal/>
    </border>
    <border>
      <left style="thin">
        <color indexed="64"/>
      </left>
      <right style="medium">
        <color rgb="FF000000"/>
      </right>
      <top style="thin">
        <color indexed="64"/>
      </top>
      <bottom/>
      <diagonal/>
    </border>
    <border>
      <left style="medium">
        <color rgb="FF000000"/>
      </left>
      <right style="thin">
        <color indexed="64"/>
      </right>
      <top/>
      <bottom style="thin">
        <color indexed="64"/>
      </bottom>
      <diagonal/>
    </border>
    <border>
      <left style="thin">
        <color indexed="64"/>
      </left>
      <right/>
      <top/>
      <bottom style="medium">
        <color rgb="FF000000"/>
      </bottom>
      <diagonal/>
    </border>
    <border>
      <left style="thin">
        <color indexed="64"/>
      </left>
      <right style="thin">
        <color indexed="64"/>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thin">
        <color rgb="FF000000"/>
      </right>
      <top/>
      <bottom/>
      <diagonal/>
    </border>
    <border>
      <left style="thin">
        <color indexed="64"/>
      </left>
      <right style="medium">
        <color rgb="FF000000"/>
      </right>
      <top style="medium">
        <color rgb="FF000000"/>
      </top>
      <bottom style="medium">
        <color indexed="64"/>
      </bottom>
      <diagonal/>
    </border>
    <border>
      <left style="thin">
        <color auto="1"/>
      </left>
      <right style="medium">
        <color rgb="FF000000"/>
      </right>
      <top/>
      <bottom/>
      <diagonal/>
    </border>
    <border>
      <left style="thin">
        <color auto="1"/>
      </left>
      <right style="medium">
        <color rgb="FF000000"/>
      </right>
      <top/>
      <bottom style="medium">
        <color rgb="FF000000"/>
      </bottom>
      <diagonal/>
    </border>
    <border>
      <left style="thin">
        <color auto="1"/>
      </left>
      <right style="medium">
        <color rgb="FF000000"/>
      </right>
      <top style="medium">
        <color indexed="64"/>
      </top>
      <bottom/>
      <diagonal/>
    </border>
    <border>
      <left style="thin">
        <color indexed="64"/>
      </left>
      <right/>
      <top style="thin">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diagonal/>
    </border>
    <border>
      <left style="medium">
        <color rgb="FF000000"/>
      </left>
      <right/>
      <top/>
      <bottom style="medium">
        <color rgb="FF000000"/>
      </bottom>
      <diagonal/>
    </border>
    <border>
      <left style="thin">
        <color rgb="FF000000"/>
      </left>
      <right/>
      <top/>
      <bottom style="medium">
        <color rgb="FF000000"/>
      </bottom>
      <diagonal/>
    </border>
    <border>
      <left style="thin">
        <color rgb="FF000000"/>
      </left>
      <right style="medium">
        <color rgb="FF000000"/>
      </right>
      <top style="medium">
        <color rgb="FF000000"/>
      </top>
      <bottom/>
      <diagonal/>
    </border>
    <border>
      <left style="thin">
        <color auto="1"/>
      </left>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rgb="FF000000"/>
      </left>
      <right style="medium">
        <color rgb="FF000000"/>
      </right>
      <top style="thin">
        <color rgb="FF000000"/>
      </top>
      <bottom/>
      <diagonal/>
    </border>
    <border>
      <left/>
      <right style="thin">
        <color indexed="64"/>
      </right>
      <top/>
      <bottom style="medium">
        <color rgb="FF000000"/>
      </bottom>
      <diagonal/>
    </border>
    <border>
      <left style="medium">
        <color rgb="FF000000"/>
      </left>
      <right style="thin">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style="thin">
        <color auto="1"/>
      </right>
      <top style="medium">
        <color rgb="FF000000"/>
      </top>
      <bottom/>
      <diagonal/>
    </border>
    <border>
      <left style="thin">
        <color indexed="64"/>
      </left>
      <right style="medium">
        <color rgb="FF000000"/>
      </right>
      <top style="medium">
        <color rgb="FF000000"/>
      </top>
      <bottom style="medium">
        <color rgb="FF000000"/>
      </bottom>
      <diagonal/>
    </border>
    <border>
      <left style="thin">
        <color indexed="64"/>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right style="thin">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right style="medium">
        <color rgb="FF000000"/>
      </right>
      <top style="thin">
        <color indexed="64"/>
      </top>
      <bottom/>
      <diagonal/>
    </border>
    <border>
      <left style="thin">
        <color rgb="FF000000"/>
      </left>
      <right style="thin">
        <color rgb="FF000000"/>
      </right>
      <top style="thin">
        <color rgb="FF000000"/>
      </top>
      <bottom style="medium">
        <color rgb="FF000000"/>
      </bottom>
      <diagonal/>
    </border>
    <border>
      <left style="thin">
        <color indexed="64"/>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style="thin">
        <color auto="1"/>
      </left>
      <right style="thin">
        <color rgb="FF000000"/>
      </right>
      <top/>
      <bottom style="medium">
        <color rgb="FF000000"/>
      </bottom>
      <diagonal/>
    </border>
    <border>
      <left style="thin">
        <color indexed="64"/>
      </left>
      <right style="medium">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thin">
        <color rgb="FF000000"/>
      </right>
      <top/>
      <bottom/>
      <diagonal/>
    </border>
    <border>
      <left/>
      <right/>
      <top style="thin">
        <color rgb="FF000000"/>
      </top>
      <bottom/>
      <diagonal/>
    </border>
    <border>
      <left/>
      <right style="thin">
        <color indexed="64"/>
      </right>
      <top/>
      <bottom style="thin">
        <color indexed="64"/>
      </bottom>
      <diagonal/>
    </border>
    <border>
      <left style="medium">
        <color rgb="FF000000"/>
      </left>
      <right style="thin">
        <color indexed="64"/>
      </right>
      <top/>
      <bottom style="thin">
        <color rgb="FF000000"/>
      </bottom>
      <diagonal/>
    </border>
    <border>
      <left/>
      <right style="medium">
        <color indexed="64"/>
      </right>
      <top style="thin">
        <color indexed="64"/>
      </top>
      <bottom/>
      <diagonal/>
    </border>
    <border>
      <left style="thin">
        <color rgb="FF000000"/>
      </left>
      <right style="thin">
        <color indexed="64"/>
      </right>
      <top style="medium">
        <color rgb="FF000000"/>
      </top>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thin">
        <color indexed="64"/>
      </top>
      <bottom/>
      <diagonal/>
    </border>
    <border>
      <left style="medium">
        <color indexed="64"/>
      </left>
      <right style="thin">
        <color rgb="FF000000"/>
      </right>
      <top/>
      <bottom/>
      <diagonal/>
    </border>
    <border>
      <left style="medium">
        <color indexed="64"/>
      </left>
      <right style="thin">
        <color rgb="FF000000"/>
      </right>
      <top/>
      <bottom style="medium">
        <color auto="1"/>
      </bottom>
      <diagonal/>
    </border>
    <border>
      <left style="thin">
        <color auto="1"/>
      </left>
      <right style="medium">
        <color indexed="64"/>
      </right>
      <top style="thin">
        <color rgb="FF000000"/>
      </top>
      <bottom/>
      <diagonal/>
    </border>
    <border>
      <left style="medium">
        <color indexed="64"/>
      </left>
      <right style="thin">
        <color indexed="64"/>
      </right>
      <top/>
      <bottom style="thin">
        <color rgb="FF000000"/>
      </bottom>
      <diagonal/>
    </border>
    <border>
      <left style="medium">
        <color indexed="64"/>
      </left>
      <right/>
      <top style="thin">
        <color rgb="FF000000"/>
      </top>
      <bottom/>
      <diagonal/>
    </border>
    <border>
      <left/>
      <right style="thin">
        <color indexed="64"/>
      </right>
      <top style="thin">
        <color indexed="64"/>
      </top>
      <bottom/>
      <diagonal/>
    </border>
    <border>
      <left/>
      <right style="medium">
        <color indexed="64"/>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top style="thin">
        <color rgb="FF000000"/>
      </top>
      <bottom/>
      <diagonal/>
    </border>
    <border>
      <left style="thin">
        <color indexed="64"/>
      </left>
      <right style="thin">
        <color rgb="FF000000"/>
      </right>
      <top style="thin">
        <color indexed="64"/>
      </top>
      <bottom/>
      <diagonal/>
    </border>
    <border>
      <left/>
      <right/>
      <top style="thin">
        <color indexed="64"/>
      </top>
      <bottom/>
      <diagonal/>
    </border>
    <border>
      <left style="thin">
        <color auto="1"/>
      </left>
      <right style="medium">
        <color rgb="FF000000"/>
      </right>
      <top/>
      <bottom style="thin">
        <color rgb="FF000000"/>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medium">
        <color indexed="64"/>
      </left>
      <right/>
      <top/>
      <bottom style="thin">
        <color rgb="FF000000"/>
      </bottom>
      <diagonal/>
    </border>
    <border>
      <left style="medium">
        <color rgb="FF000000"/>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style="thin">
        <color auto="1"/>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indexed="64"/>
      </bottom>
      <diagonal/>
    </border>
    <border>
      <left/>
      <right style="thin">
        <color indexed="64"/>
      </right>
      <top style="medium">
        <color rgb="FF000000"/>
      </top>
      <bottom style="medium">
        <color indexed="64"/>
      </bottom>
      <diagonal/>
    </border>
    <border>
      <left style="thin">
        <color indexed="64"/>
      </left>
      <right style="medium">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style="thin">
        <color rgb="FF000000"/>
      </top>
      <bottom/>
      <diagonal/>
    </border>
    <border>
      <left style="medium">
        <color rgb="FF000000"/>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indexed="64"/>
      </top>
      <bottom/>
      <diagonal/>
    </border>
    <border>
      <left style="thin">
        <color rgb="FF000000"/>
      </left>
      <right style="medium">
        <color rgb="FF000000"/>
      </right>
      <top/>
      <bottom style="thin">
        <color indexed="64"/>
      </bottom>
      <diagonal/>
    </border>
    <border>
      <left/>
      <right style="medium">
        <color rgb="FF000000"/>
      </right>
      <top/>
      <bottom style="thin">
        <color indexed="64"/>
      </bottom>
      <diagonal/>
    </border>
    <border>
      <left style="medium">
        <color indexed="64"/>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medium">
        <color indexed="64"/>
      </right>
      <top style="medium">
        <color indexed="64"/>
      </top>
      <bottom style="medium">
        <color rgb="FF000000"/>
      </bottom>
      <diagonal/>
    </border>
    <border>
      <left style="medium">
        <color rgb="FF000000"/>
      </left>
      <right/>
      <top style="thin">
        <color rgb="FF000000"/>
      </top>
      <bottom style="thin">
        <color rgb="FF000000"/>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indexed="64"/>
      </right>
      <top style="thin">
        <color rgb="FF000000"/>
      </top>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right style="medium">
        <color indexed="64"/>
      </right>
      <top style="thin">
        <color rgb="FF000000"/>
      </top>
      <bottom/>
      <diagonal/>
    </border>
    <border>
      <left style="medium">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style="thin">
        <color auto="1"/>
      </right>
      <top style="medium">
        <color rgb="FF000000"/>
      </top>
      <bottom/>
      <diagonal/>
    </border>
    <border>
      <left style="thin">
        <color auto="1"/>
      </left>
      <right style="medium">
        <color indexed="64"/>
      </right>
      <top style="medium">
        <color rgb="FF000000"/>
      </top>
      <bottom/>
      <diagonal/>
    </border>
    <border>
      <left style="medium">
        <color indexed="64"/>
      </left>
      <right style="thin">
        <color indexed="64"/>
      </right>
      <top style="thin">
        <color rgb="FF000000"/>
      </top>
      <bottom/>
      <diagonal/>
    </border>
    <border>
      <left style="thin">
        <color indexed="64"/>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s>
  <cellStyleXfs count="3">
    <xf numFmtId="0" fontId="0" fillId="0" borderId="0"/>
    <xf numFmtId="9" fontId="1" fillId="0" borderId="0" applyFont="0" applyFill="0" applyBorder="0" applyAlignment="0" applyProtection="0"/>
    <xf numFmtId="0" fontId="5" fillId="0" borderId="0"/>
  </cellStyleXfs>
  <cellXfs count="601">
    <xf numFmtId="0" fontId="0" fillId="0" borderId="0" xfId="0"/>
    <xf numFmtId="0" fontId="4" fillId="0" borderId="0" xfId="0" applyFont="1"/>
    <xf numFmtId="0" fontId="3" fillId="0" borderId="0" xfId="0" applyFont="1"/>
    <xf numFmtId="0" fontId="7" fillId="0" borderId="0" xfId="0" applyFont="1" applyAlignment="1">
      <alignment vertical="center"/>
    </xf>
    <xf numFmtId="0" fontId="9" fillId="0" borderId="0" xfId="0" applyFont="1" applyAlignment="1">
      <alignment vertical="center"/>
    </xf>
    <xf numFmtId="0" fontId="12" fillId="0" borderId="0" xfId="0" applyFont="1"/>
    <xf numFmtId="0" fontId="13" fillId="3" borderId="1" xfId="2" applyFont="1" applyFill="1" applyBorder="1" applyAlignment="1">
      <alignment horizontal="left"/>
    </xf>
    <xf numFmtId="0" fontId="13" fillId="3" borderId="2" xfId="2" applyFont="1" applyFill="1" applyBorder="1" applyAlignment="1">
      <alignment horizontal="left"/>
    </xf>
    <xf numFmtId="0" fontId="13" fillId="3" borderId="13" xfId="2" applyFont="1" applyFill="1" applyBorder="1" applyAlignment="1">
      <alignment horizontal="left"/>
    </xf>
    <xf numFmtId="0" fontId="13" fillId="3" borderId="3" xfId="2" applyFont="1" applyFill="1" applyBorder="1" applyAlignment="1">
      <alignment horizontal="left"/>
    </xf>
    <xf numFmtId="0" fontId="0" fillId="0" borderId="15" xfId="0" applyBorder="1"/>
    <xf numFmtId="0" fontId="0" fillId="0" borderId="17" xfId="0" applyBorder="1"/>
    <xf numFmtId="3" fontId="0" fillId="2" borderId="18" xfId="0" applyNumberFormat="1" applyFill="1" applyBorder="1" applyProtection="1">
      <protection locked="0"/>
    </xf>
    <xf numFmtId="0" fontId="0" fillId="0" borderId="18" xfId="0" applyBorder="1"/>
    <xf numFmtId="0" fontId="0" fillId="0" borderId="19" xfId="0" applyBorder="1"/>
    <xf numFmtId="3" fontId="0" fillId="0" borderId="18" xfId="0" applyNumberFormat="1" applyBorder="1"/>
    <xf numFmtId="0" fontId="0" fillId="0" borderId="20" xfId="0" applyBorder="1"/>
    <xf numFmtId="0" fontId="14" fillId="0" borderId="0" xfId="0" applyFont="1" applyAlignment="1">
      <alignment vertical="center"/>
    </xf>
    <xf numFmtId="0" fontId="0" fillId="0" borderId="21" xfId="0" applyBorder="1"/>
    <xf numFmtId="0" fontId="0" fillId="0" borderId="22" xfId="0" applyBorder="1"/>
    <xf numFmtId="0" fontId="0" fillId="0" borderId="23" xfId="0" applyBorder="1"/>
    <xf numFmtId="0" fontId="0" fillId="0" borderId="24" xfId="0" applyBorder="1"/>
    <xf numFmtId="0" fontId="13" fillId="3" borderId="5" xfId="2" applyFont="1" applyFill="1" applyBorder="1" applyAlignment="1">
      <alignment horizontal="left"/>
    </xf>
    <xf numFmtId="0" fontId="13" fillId="3" borderId="18" xfId="2" applyFont="1" applyFill="1" applyBorder="1" applyAlignment="1">
      <alignment horizontal="left"/>
    </xf>
    <xf numFmtId="0" fontId="0" fillId="0" borderId="25" xfId="0" applyBorder="1"/>
    <xf numFmtId="165" fontId="0" fillId="0" borderId="18" xfId="0" applyNumberFormat="1" applyBorder="1"/>
    <xf numFmtId="0" fontId="0" fillId="0" borderId="26" xfId="0" applyBorder="1"/>
    <xf numFmtId="0" fontId="0" fillId="0" borderId="27" xfId="0" applyBorder="1"/>
    <xf numFmtId="0" fontId="13" fillId="3" borderId="7" xfId="2" applyFont="1" applyFill="1" applyBorder="1" applyAlignment="1">
      <alignment horizontal="left"/>
    </xf>
    <xf numFmtId="0" fontId="13" fillId="3" borderId="22" xfId="2" applyFont="1" applyFill="1" applyBorder="1" applyAlignment="1">
      <alignment horizontal="left"/>
    </xf>
    <xf numFmtId="0" fontId="0" fillId="0" borderId="5" xfId="0" applyBorder="1"/>
    <xf numFmtId="3" fontId="0" fillId="0" borderId="0" xfId="0" applyNumberFormat="1"/>
    <xf numFmtId="4" fontId="0" fillId="0" borderId="0" xfId="0" applyNumberFormat="1"/>
    <xf numFmtId="164" fontId="0" fillId="0" borderId="0" xfId="0" applyNumberFormat="1"/>
    <xf numFmtId="0" fontId="0" fillId="0" borderId="4" xfId="0" applyBorder="1"/>
    <xf numFmtId="0" fontId="13" fillId="0" borderId="0" xfId="2" applyFont="1" applyAlignment="1">
      <alignment horizontal="left"/>
    </xf>
    <xf numFmtId="0" fontId="3" fillId="0" borderId="5" xfId="0" applyFont="1" applyBorder="1"/>
    <xf numFmtId="0" fontId="3" fillId="0" borderId="18" xfId="0" applyFont="1" applyBorder="1"/>
    <xf numFmtId="0" fontId="3" fillId="0" borderId="7" xfId="0" applyFont="1" applyBorder="1"/>
    <xf numFmtId="0" fontId="3" fillId="0" borderId="22" xfId="0" applyFont="1" applyBorder="1"/>
    <xf numFmtId="4" fontId="0" fillId="0" borderId="18" xfId="0" applyNumberFormat="1" applyBorder="1"/>
    <xf numFmtId="0" fontId="13" fillId="3" borderId="4" xfId="2" applyFont="1" applyFill="1" applyBorder="1" applyAlignment="1">
      <alignment horizontal="left"/>
    </xf>
    <xf numFmtId="164" fontId="0" fillId="0" borderId="18" xfId="0" applyNumberFormat="1" applyBorder="1"/>
    <xf numFmtId="164" fontId="0" fillId="0" borderId="8" xfId="0" applyNumberFormat="1" applyBorder="1"/>
    <xf numFmtId="3" fontId="0" fillId="0" borderId="10" xfId="0" applyNumberFormat="1" applyBorder="1"/>
    <xf numFmtId="0" fontId="0" fillId="0" borderId="10" xfId="0" applyBorder="1"/>
    <xf numFmtId="0" fontId="0" fillId="0" borderId="0" xfId="0" applyAlignment="1">
      <alignment vertical="center"/>
    </xf>
    <xf numFmtId="164" fontId="0" fillId="0" borderId="22" xfId="0" applyNumberFormat="1" applyBorder="1"/>
    <xf numFmtId="0" fontId="0" fillId="0" borderId="28" xfId="0" applyBorder="1"/>
    <xf numFmtId="0" fontId="9" fillId="0" borderId="5" xfId="0" applyFont="1" applyBorder="1"/>
    <xf numFmtId="0" fontId="9" fillId="0" borderId="7" xfId="0" applyFont="1" applyBorder="1"/>
    <xf numFmtId="0" fontId="0" fillId="0" borderId="8" xfId="0" applyBorder="1"/>
    <xf numFmtId="0" fontId="0" fillId="0" borderId="30" xfId="0" applyBorder="1"/>
    <xf numFmtId="0" fontId="0" fillId="0" borderId="31" xfId="0" applyBorder="1"/>
    <xf numFmtId="0" fontId="13" fillId="3" borderId="31" xfId="2" applyFont="1" applyFill="1" applyBorder="1" applyAlignment="1">
      <alignment horizontal="left"/>
    </xf>
    <xf numFmtId="0" fontId="13" fillId="3" borderId="24" xfId="2" applyFont="1" applyFill="1" applyBorder="1" applyAlignment="1">
      <alignment horizontal="left"/>
    </xf>
    <xf numFmtId="167" fontId="0" fillId="0" borderId="0" xfId="0" applyNumberFormat="1"/>
    <xf numFmtId="2" fontId="0" fillId="0" borderId="0" xfId="0" applyNumberFormat="1"/>
    <xf numFmtId="0" fontId="11" fillId="0" borderId="0" xfId="0" applyFont="1"/>
    <xf numFmtId="0" fontId="0" fillId="0" borderId="0" xfId="0" applyAlignment="1">
      <alignment horizontal="center"/>
    </xf>
    <xf numFmtId="0" fontId="12" fillId="0" borderId="19" xfId="0" applyFont="1" applyBorder="1"/>
    <xf numFmtId="0" fontId="3" fillId="0" borderId="12" xfId="0" applyFont="1" applyBorder="1"/>
    <xf numFmtId="164" fontId="3" fillId="0" borderId="10" xfId="0" applyNumberFormat="1" applyFont="1" applyBorder="1"/>
    <xf numFmtId="0" fontId="3" fillId="0" borderId="10" xfId="0" applyFont="1" applyBorder="1"/>
    <xf numFmtId="0" fontId="0" fillId="0" borderId="34" xfId="0" applyBorder="1"/>
    <xf numFmtId="164" fontId="3" fillId="0" borderId="18" xfId="0" applyNumberFormat="1" applyFont="1" applyBorder="1"/>
    <xf numFmtId="0" fontId="11" fillId="0" borderId="5" xfId="0" applyFont="1" applyBorder="1"/>
    <xf numFmtId="0" fontId="13" fillId="3" borderId="15" xfId="2" applyFont="1" applyFill="1" applyBorder="1" applyAlignment="1">
      <alignment horizontal="left"/>
    </xf>
    <xf numFmtId="4" fontId="0" fillId="0" borderId="28" xfId="0" applyNumberFormat="1" applyBorder="1"/>
    <xf numFmtId="3" fontId="0" fillId="0" borderId="28" xfId="0" applyNumberFormat="1" applyBorder="1"/>
    <xf numFmtId="0" fontId="22" fillId="0" borderId="0" xfId="0" applyFont="1"/>
    <xf numFmtId="0" fontId="9" fillId="0" borderId="17" xfId="0" applyFont="1" applyBorder="1"/>
    <xf numFmtId="0" fontId="0" fillId="0" borderId="36" xfId="0" applyBorder="1"/>
    <xf numFmtId="0" fontId="13" fillId="3" borderId="32" xfId="2" applyFont="1" applyFill="1" applyBorder="1" applyAlignment="1">
      <alignment horizontal="left"/>
    </xf>
    <xf numFmtId="0" fontId="13" fillId="3" borderId="16" xfId="2" applyFont="1" applyFill="1" applyBorder="1" applyAlignment="1">
      <alignment horizontal="left"/>
    </xf>
    <xf numFmtId="0" fontId="0" fillId="0" borderId="11" xfId="0" applyBorder="1"/>
    <xf numFmtId="0" fontId="0" fillId="0" borderId="37" xfId="0" applyBorder="1"/>
    <xf numFmtId="0" fontId="0" fillId="0" borderId="39" xfId="0" applyBorder="1"/>
    <xf numFmtId="0" fontId="0" fillId="0" borderId="40" xfId="0" applyBorder="1"/>
    <xf numFmtId="0" fontId="0" fillId="0" borderId="41" xfId="0" applyBorder="1"/>
    <xf numFmtId="0" fontId="13" fillId="3" borderId="42" xfId="2" applyFont="1" applyFill="1" applyBorder="1" applyAlignment="1">
      <alignment horizontal="left"/>
    </xf>
    <xf numFmtId="0" fontId="0" fillId="0" borderId="44" xfId="0" applyBorder="1"/>
    <xf numFmtId="0" fontId="0" fillId="0" borderId="47" xfId="0" applyBorder="1"/>
    <xf numFmtId="0" fontId="0" fillId="0" borderId="48" xfId="0" applyBorder="1"/>
    <xf numFmtId="0" fontId="0" fillId="0" borderId="51" xfId="0" applyBorder="1"/>
    <xf numFmtId="0" fontId="0" fillId="0" borderId="52" xfId="0" applyBorder="1"/>
    <xf numFmtId="0" fontId="13" fillId="3" borderId="54" xfId="2" applyFont="1" applyFill="1" applyBorder="1" applyAlignment="1">
      <alignment horizontal="left"/>
    </xf>
    <xf numFmtId="0" fontId="0" fillId="0" borderId="55" xfId="0" applyBorder="1"/>
    <xf numFmtId="0" fontId="0" fillId="0" borderId="56" xfId="0" applyBorder="1"/>
    <xf numFmtId="0" fontId="13" fillId="3" borderId="57" xfId="2" applyFont="1" applyFill="1" applyBorder="1" applyAlignment="1">
      <alignment horizontal="left"/>
    </xf>
    <xf numFmtId="0" fontId="0" fillId="0" borderId="58" xfId="0" applyBorder="1"/>
    <xf numFmtId="0" fontId="0" fillId="0" borderId="60" xfId="0" applyBorder="1"/>
    <xf numFmtId="3" fontId="0" fillId="0" borderId="61" xfId="0" applyNumberFormat="1" applyBorder="1"/>
    <xf numFmtId="0" fontId="0" fillId="0" borderId="62" xfId="0" applyBorder="1"/>
    <xf numFmtId="0" fontId="28" fillId="0" borderId="18" xfId="0" applyFont="1" applyBorder="1"/>
    <xf numFmtId="0" fontId="9" fillId="0" borderId="39" xfId="0" applyFont="1" applyBorder="1"/>
    <xf numFmtId="0" fontId="0" fillId="0" borderId="54" xfId="0" applyBorder="1"/>
    <xf numFmtId="0" fontId="0" fillId="0" borderId="63" xfId="0" applyBorder="1"/>
    <xf numFmtId="0" fontId="13" fillId="3" borderId="65" xfId="2" applyFont="1" applyFill="1" applyBorder="1" applyAlignment="1">
      <alignment horizontal="left"/>
    </xf>
    <xf numFmtId="0" fontId="0" fillId="0" borderId="66" xfId="0" applyBorder="1"/>
    <xf numFmtId="4" fontId="0" fillId="0" borderId="55" xfId="0" applyNumberFormat="1" applyBorder="1"/>
    <xf numFmtId="0" fontId="0" fillId="0" borderId="67" xfId="0" applyBorder="1"/>
    <xf numFmtId="0" fontId="0" fillId="0" borderId="68" xfId="0" applyBorder="1"/>
    <xf numFmtId="0" fontId="13" fillId="3" borderId="70" xfId="2" applyFont="1" applyFill="1" applyBorder="1" applyAlignment="1">
      <alignment horizontal="left"/>
    </xf>
    <xf numFmtId="0" fontId="13" fillId="3" borderId="71" xfId="2" applyFont="1" applyFill="1" applyBorder="1" applyAlignment="1">
      <alignment horizontal="left"/>
    </xf>
    <xf numFmtId="3" fontId="0" fillId="0" borderId="55" xfId="0" applyNumberFormat="1" applyBorder="1"/>
    <xf numFmtId="0" fontId="2" fillId="0" borderId="28" xfId="0" applyFont="1" applyBorder="1"/>
    <xf numFmtId="0" fontId="0" fillId="0" borderId="74" xfId="0" applyBorder="1"/>
    <xf numFmtId="0" fontId="0" fillId="0" borderId="76" xfId="0" applyBorder="1"/>
    <xf numFmtId="0" fontId="28" fillId="0" borderId="0" xfId="0" applyFont="1"/>
    <xf numFmtId="0" fontId="0" fillId="0" borderId="75" xfId="0" applyBorder="1"/>
    <xf numFmtId="0" fontId="0" fillId="0" borderId="77" xfId="0" applyBorder="1"/>
    <xf numFmtId="0" fontId="0" fillId="0" borderId="78" xfId="0" applyBorder="1"/>
    <xf numFmtId="0" fontId="0" fillId="0" borderId="79" xfId="0" applyBorder="1"/>
    <xf numFmtId="0" fontId="13" fillId="3" borderId="80" xfId="2" applyFont="1" applyFill="1" applyBorder="1" applyAlignment="1">
      <alignment horizontal="left"/>
    </xf>
    <xf numFmtId="0" fontId="0" fillId="0" borderId="80" xfId="0" applyBorder="1"/>
    <xf numFmtId="0" fontId="13" fillId="3" borderId="82" xfId="2" applyFont="1" applyFill="1" applyBorder="1" applyAlignment="1">
      <alignment horizontal="left"/>
    </xf>
    <xf numFmtId="0" fontId="0" fillId="0" borderId="61" xfId="0" applyBorder="1"/>
    <xf numFmtId="0" fontId="0" fillId="0" borderId="81" xfId="0" applyBorder="1"/>
    <xf numFmtId="3" fontId="3" fillId="0" borderId="18" xfId="0" applyNumberFormat="1" applyFont="1" applyBorder="1"/>
    <xf numFmtId="0" fontId="0" fillId="0" borderId="50" xfId="0" applyBorder="1"/>
    <xf numFmtId="0" fontId="0" fillId="0" borderId="84" xfId="0" applyBorder="1"/>
    <xf numFmtId="4" fontId="0" fillId="0" borderId="61" xfId="0" applyNumberFormat="1" applyBorder="1"/>
    <xf numFmtId="0" fontId="13" fillId="3" borderId="39" xfId="2" applyFont="1" applyFill="1" applyBorder="1" applyAlignment="1">
      <alignment horizontal="left"/>
    </xf>
    <xf numFmtId="0" fontId="13" fillId="3" borderId="61" xfId="2" applyFont="1" applyFill="1" applyBorder="1" applyAlignment="1">
      <alignment horizontal="left"/>
    </xf>
    <xf numFmtId="0" fontId="13" fillId="3" borderId="81" xfId="2" applyFont="1" applyFill="1" applyBorder="1" applyAlignment="1">
      <alignment horizontal="left"/>
    </xf>
    <xf numFmtId="0" fontId="0" fillId="0" borderId="82" xfId="0" applyBorder="1"/>
    <xf numFmtId="2" fontId="0" fillId="0" borderId="52" xfId="0" applyNumberFormat="1" applyBorder="1" applyAlignment="1">
      <alignment horizontal="center"/>
    </xf>
    <xf numFmtId="2" fontId="0" fillId="0" borderId="89" xfId="0" applyNumberFormat="1" applyBorder="1" applyAlignment="1">
      <alignment horizontal="center"/>
    </xf>
    <xf numFmtId="0" fontId="0" fillId="0" borderId="87" xfId="0" applyBorder="1"/>
    <xf numFmtId="0" fontId="0" fillId="0" borderId="86" xfId="0" applyBorder="1"/>
    <xf numFmtId="3" fontId="0" fillId="2" borderId="87" xfId="0" applyNumberFormat="1" applyFill="1" applyBorder="1" applyProtection="1">
      <protection locked="0"/>
    </xf>
    <xf numFmtId="0" fontId="0" fillId="0" borderId="88" xfId="0" applyBorder="1"/>
    <xf numFmtId="0" fontId="13" fillId="3" borderId="62" xfId="2" applyFont="1" applyFill="1" applyBorder="1" applyAlignment="1">
      <alignment horizontal="left"/>
    </xf>
    <xf numFmtId="0" fontId="0" fillId="0" borderId="97" xfId="0" applyBorder="1"/>
    <xf numFmtId="0" fontId="0" fillId="0" borderId="96" xfId="0" applyBorder="1"/>
    <xf numFmtId="0" fontId="0" fillId="0" borderId="89" xfId="0" applyBorder="1"/>
    <xf numFmtId="0" fontId="0" fillId="0" borderId="57" xfId="0" applyBorder="1"/>
    <xf numFmtId="0" fontId="12" fillId="0" borderId="48" xfId="0" applyFont="1" applyBorder="1"/>
    <xf numFmtId="0" fontId="24" fillId="3" borderId="38" xfId="2" applyFont="1" applyFill="1" applyBorder="1" applyAlignment="1">
      <alignment horizontal="left"/>
    </xf>
    <xf numFmtId="0" fontId="24" fillId="3" borderId="15" xfId="2" applyFont="1" applyFill="1" applyBorder="1" applyAlignment="1">
      <alignment horizontal="left"/>
    </xf>
    <xf numFmtId="0" fontId="24" fillId="3" borderId="32" xfId="2" applyFont="1" applyFill="1" applyBorder="1" applyAlignment="1">
      <alignment horizontal="left"/>
    </xf>
    <xf numFmtId="0" fontId="24" fillId="3" borderId="61" xfId="2" applyFont="1" applyFill="1" applyBorder="1" applyAlignment="1">
      <alignment horizontal="left"/>
    </xf>
    <xf numFmtId="0" fontId="24" fillId="3" borderId="81" xfId="2" applyFont="1" applyFill="1" applyBorder="1" applyAlignment="1">
      <alignment horizontal="left"/>
    </xf>
    <xf numFmtId="4" fontId="0" fillId="0" borderId="52" xfId="0" applyNumberFormat="1" applyBorder="1"/>
    <xf numFmtId="0" fontId="13" fillId="3" borderId="91" xfId="2" applyFont="1" applyFill="1" applyBorder="1" applyAlignment="1">
      <alignment horizontal="left"/>
    </xf>
    <xf numFmtId="0" fontId="3" fillId="0" borderId="44" xfId="0" applyFont="1" applyBorder="1"/>
    <xf numFmtId="0" fontId="13" fillId="3" borderId="83" xfId="2" applyFont="1" applyFill="1" applyBorder="1" applyAlignment="1">
      <alignment horizontal="left"/>
    </xf>
    <xf numFmtId="3" fontId="0" fillId="0" borderId="107" xfId="0" applyNumberFormat="1" applyBorder="1" applyAlignment="1">
      <alignment horizontal="center"/>
    </xf>
    <xf numFmtId="0" fontId="0" fillId="0" borderId="0" xfId="0" quotePrefix="1"/>
    <xf numFmtId="0" fontId="7" fillId="0" borderId="5" xfId="0" applyFont="1" applyBorder="1"/>
    <xf numFmtId="0" fontId="0" fillId="0" borderId="109" xfId="0" applyBorder="1"/>
    <xf numFmtId="0" fontId="33" fillId="0" borderId="0" xfId="0" applyFont="1"/>
    <xf numFmtId="0" fontId="3" fillId="0" borderId="47" xfId="0" applyFont="1" applyBorder="1"/>
    <xf numFmtId="0" fontId="3" fillId="0" borderId="52" xfId="0" applyFont="1" applyBorder="1"/>
    <xf numFmtId="0" fontId="0" fillId="0" borderId="110" xfId="0" applyBorder="1"/>
    <xf numFmtId="0" fontId="24" fillId="3" borderId="18" xfId="2" applyFont="1" applyFill="1" applyBorder="1" applyAlignment="1">
      <alignment horizontal="left"/>
    </xf>
    <xf numFmtId="0" fontId="13" fillId="3" borderId="111" xfId="2" applyFont="1" applyFill="1" applyBorder="1" applyAlignment="1">
      <alignment horizontal="left"/>
    </xf>
    <xf numFmtId="0" fontId="21" fillId="0" borderId="47" xfId="0" applyFont="1" applyBorder="1"/>
    <xf numFmtId="0" fontId="24" fillId="3" borderId="71" xfId="2" applyFont="1" applyFill="1" applyBorder="1" applyAlignment="1">
      <alignment horizontal="left"/>
    </xf>
    <xf numFmtId="0" fontId="24" fillId="3" borderId="73" xfId="2" applyFont="1" applyFill="1" applyBorder="1" applyAlignment="1">
      <alignment horizontal="left"/>
    </xf>
    <xf numFmtId="0" fontId="24" fillId="3" borderId="62" xfId="2" applyFont="1" applyFill="1" applyBorder="1" applyAlignment="1">
      <alignment horizontal="left"/>
    </xf>
    <xf numFmtId="164" fontId="0" fillId="0" borderId="52" xfId="0" applyNumberFormat="1" applyBorder="1"/>
    <xf numFmtId="0" fontId="12" fillId="0" borderId="66" xfId="0" applyFont="1" applyBorder="1"/>
    <xf numFmtId="164" fontId="0" fillId="0" borderId="28" xfId="0" applyNumberFormat="1" applyBorder="1"/>
    <xf numFmtId="0" fontId="2" fillId="0" borderId="77" xfId="0" applyFont="1" applyBorder="1"/>
    <xf numFmtId="0" fontId="2" fillId="0" borderId="0" xfId="0" applyFont="1"/>
    <xf numFmtId="0" fontId="0" fillId="0" borderId="112" xfId="0" applyBorder="1"/>
    <xf numFmtId="0" fontId="28" fillId="0" borderId="20" xfId="0" applyFont="1" applyBorder="1"/>
    <xf numFmtId="3" fontId="0" fillId="0" borderId="52" xfId="0" applyNumberFormat="1" applyBorder="1"/>
    <xf numFmtId="0" fontId="0" fillId="0" borderId="116" xfId="0" applyBorder="1"/>
    <xf numFmtId="3" fontId="3" fillId="0" borderId="22" xfId="0" applyNumberFormat="1" applyFont="1" applyBorder="1"/>
    <xf numFmtId="0" fontId="0" fillId="0" borderId="28" xfId="0" quotePrefix="1" applyBorder="1"/>
    <xf numFmtId="0" fontId="14" fillId="0" borderId="0" xfId="0" applyFont="1"/>
    <xf numFmtId="0" fontId="0" fillId="0" borderId="18" xfId="0" applyBorder="1" applyAlignment="1">
      <alignment horizontal="left" vertical="center"/>
    </xf>
    <xf numFmtId="0" fontId="37" fillId="0" borderId="0" xfId="0" applyFont="1"/>
    <xf numFmtId="0" fontId="38" fillId="0" borderId="0" xfId="0" applyFont="1" applyAlignment="1">
      <alignment horizontal="left"/>
    </xf>
    <xf numFmtId="3" fontId="0" fillId="0" borderId="18" xfId="0" applyNumberFormat="1" applyBorder="1" applyAlignment="1">
      <alignment horizontal="center"/>
    </xf>
    <xf numFmtId="2" fontId="0" fillId="0" borderId="18" xfId="0" applyNumberFormat="1" applyBorder="1" applyAlignment="1">
      <alignment horizontal="center"/>
    </xf>
    <xf numFmtId="3" fontId="0" fillId="0" borderId="0" xfId="0" applyNumberFormat="1" applyAlignment="1">
      <alignment horizontal="center"/>
    </xf>
    <xf numFmtId="0" fontId="41" fillId="0" borderId="0" xfId="0" applyFont="1"/>
    <xf numFmtId="167" fontId="9" fillId="0" borderId="18" xfId="0" applyNumberFormat="1" applyFont="1" applyBorder="1" applyAlignment="1">
      <alignment horizontal="center"/>
    </xf>
    <xf numFmtId="167" fontId="2" fillId="0" borderId="0" xfId="0" applyNumberFormat="1" applyFont="1" applyAlignment="1">
      <alignment horizontal="center" vertical="center"/>
    </xf>
    <xf numFmtId="167" fontId="0" fillId="0" borderId="18" xfId="0" applyNumberFormat="1" applyBorder="1" applyAlignment="1">
      <alignment horizontal="center"/>
    </xf>
    <xf numFmtId="0" fontId="12" fillId="0" borderId="67" xfId="0" applyFont="1" applyBorder="1"/>
    <xf numFmtId="0" fontId="0" fillId="0" borderId="92" xfId="0" applyBorder="1"/>
    <xf numFmtId="0" fontId="0" fillId="0" borderId="118" xfId="0" applyBorder="1"/>
    <xf numFmtId="4" fontId="0" fillId="0" borderId="107" xfId="0" applyNumberFormat="1" applyBorder="1"/>
    <xf numFmtId="0" fontId="0" fillId="0" borderId="113" xfId="0" applyBorder="1"/>
    <xf numFmtId="0" fontId="0" fillId="0" borderId="119" xfId="0" applyBorder="1"/>
    <xf numFmtId="0" fontId="13" fillId="3" borderId="72" xfId="2" applyFont="1" applyFill="1" applyBorder="1" applyAlignment="1">
      <alignment horizontal="left"/>
    </xf>
    <xf numFmtId="0" fontId="13" fillId="3" borderId="14" xfId="2" applyFont="1" applyFill="1" applyBorder="1" applyAlignment="1">
      <alignment horizontal="left"/>
    </xf>
    <xf numFmtId="0" fontId="36" fillId="0" borderId="0" xfId="0" applyFont="1"/>
    <xf numFmtId="4" fontId="28" fillId="0" borderId="0" xfId="0" applyNumberFormat="1" applyFont="1"/>
    <xf numFmtId="0" fontId="21" fillId="0" borderId="28" xfId="0" applyFont="1" applyBorder="1"/>
    <xf numFmtId="0" fontId="21" fillId="0" borderId="28" xfId="0" quotePrefix="1" applyFont="1" applyBorder="1"/>
    <xf numFmtId="0" fontId="28" fillId="0" borderId="52" xfId="0" quotePrefix="1" applyFont="1" applyBorder="1"/>
    <xf numFmtId="0" fontId="24" fillId="3" borderId="22" xfId="2" applyFont="1" applyFill="1" applyBorder="1" applyAlignment="1">
      <alignment horizontal="left"/>
    </xf>
    <xf numFmtId="0" fontId="21" fillId="0" borderId="0" xfId="0" quotePrefix="1" applyFont="1"/>
    <xf numFmtId="0" fontId="21" fillId="0" borderId="0" xfId="0" applyFont="1"/>
    <xf numFmtId="0" fontId="28" fillId="0" borderId="113" xfId="0" applyFont="1" applyBorder="1"/>
    <xf numFmtId="0" fontId="21" fillId="0" borderId="52" xfId="0" applyFont="1" applyBorder="1"/>
    <xf numFmtId="0" fontId="21" fillId="0" borderId="18" xfId="0" applyFont="1" applyBorder="1"/>
    <xf numFmtId="0" fontId="21" fillId="0" borderId="52" xfId="0" quotePrefix="1" applyFont="1" applyBorder="1"/>
    <xf numFmtId="0" fontId="24" fillId="3" borderId="2" xfId="2" applyFont="1" applyFill="1" applyBorder="1" applyAlignment="1">
      <alignment horizontal="left"/>
    </xf>
    <xf numFmtId="0" fontId="21" fillId="0" borderId="89" xfId="0" quotePrefix="1" applyFont="1" applyBorder="1"/>
    <xf numFmtId="0" fontId="13" fillId="3" borderId="19" xfId="2" applyFont="1" applyFill="1" applyBorder="1" applyAlignment="1">
      <alignment horizontal="left"/>
    </xf>
    <xf numFmtId="0" fontId="0" fillId="0" borderId="121" xfId="0" applyBorder="1"/>
    <xf numFmtId="0" fontId="0" fillId="0" borderId="122" xfId="0" applyBorder="1"/>
    <xf numFmtId="0" fontId="0" fillId="0" borderId="123" xfId="0" applyBorder="1"/>
    <xf numFmtId="3" fontId="0" fillId="0" borderId="74" xfId="0" applyNumberFormat="1" applyBorder="1"/>
    <xf numFmtId="164" fontId="0" fillId="0" borderId="114" xfId="0" applyNumberFormat="1" applyBorder="1"/>
    <xf numFmtId="9" fontId="0" fillId="0" borderId="126" xfId="0" applyNumberFormat="1" applyBorder="1"/>
    <xf numFmtId="4" fontId="0" fillId="0" borderId="61" xfId="0" applyNumberFormat="1" applyBorder="1" applyAlignment="1">
      <alignment horizontal="center"/>
    </xf>
    <xf numFmtId="3" fontId="0" fillId="0" borderId="8" xfId="0" applyNumberFormat="1" applyBorder="1"/>
    <xf numFmtId="0" fontId="0" fillId="0" borderId="124" xfId="0" applyBorder="1"/>
    <xf numFmtId="0" fontId="0" fillId="0" borderId="107" xfId="0" applyBorder="1"/>
    <xf numFmtId="0" fontId="0" fillId="0" borderId="127" xfId="0" applyBorder="1"/>
    <xf numFmtId="0" fontId="0" fillId="0" borderId="115" xfId="0" applyBorder="1"/>
    <xf numFmtId="0" fontId="0" fillId="0" borderId="129" xfId="0" applyBorder="1"/>
    <xf numFmtId="0" fontId="0" fillId="0" borderId="130" xfId="0" applyBorder="1"/>
    <xf numFmtId="0" fontId="0" fillId="0" borderId="125" xfId="0" applyBorder="1"/>
    <xf numFmtId="0" fontId="0" fillId="0" borderId="131" xfId="0" applyBorder="1"/>
    <xf numFmtId="0" fontId="0" fillId="0" borderId="132" xfId="0" applyBorder="1"/>
    <xf numFmtId="4" fontId="0" fillId="0" borderId="74" xfId="0" applyNumberFormat="1" applyBorder="1"/>
    <xf numFmtId="0" fontId="9" fillId="0" borderId="44" xfId="0" applyFont="1" applyBorder="1"/>
    <xf numFmtId="0" fontId="0" fillId="0" borderId="133" xfId="0" applyBorder="1"/>
    <xf numFmtId="0" fontId="0" fillId="0" borderId="134" xfId="0" applyBorder="1"/>
    <xf numFmtId="3" fontId="0" fillId="0" borderId="74" xfId="0" applyNumberFormat="1" applyBorder="1" applyAlignment="1">
      <alignment vertical="center"/>
    </xf>
    <xf numFmtId="0" fontId="0" fillId="0" borderId="74" xfId="0" applyBorder="1" applyAlignment="1">
      <alignment horizontal="left" vertical="center"/>
    </xf>
    <xf numFmtId="4" fontId="0" fillId="0" borderId="20" xfId="0" applyNumberFormat="1" applyBorder="1"/>
    <xf numFmtId="0" fontId="13" fillId="3" borderId="55" xfId="2" applyFont="1" applyFill="1" applyBorder="1" applyAlignment="1">
      <alignment horizontal="left"/>
    </xf>
    <xf numFmtId="0" fontId="13" fillId="3" borderId="56" xfId="2" applyFont="1" applyFill="1" applyBorder="1" applyAlignment="1">
      <alignment horizontal="left"/>
    </xf>
    <xf numFmtId="0" fontId="0" fillId="0" borderId="137" xfId="0" applyBorder="1"/>
    <xf numFmtId="0" fontId="0" fillId="0" borderId="138" xfId="0" applyBorder="1"/>
    <xf numFmtId="4" fontId="0" fillId="0" borderId="138" xfId="0" applyNumberFormat="1" applyBorder="1"/>
    <xf numFmtId="0" fontId="0" fillId="0" borderId="139" xfId="0" applyBorder="1"/>
    <xf numFmtId="4" fontId="0" fillId="0" borderId="50" xfId="0" applyNumberFormat="1" applyBorder="1"/>
    <xf numFmtId="0" fontId="0" fillId="0" borderId="0" xfId="0" applyAlignment="1">
      <alignment horizontal="left" vertical="center"/>
    </xf>
    <xf numFmtId="0" fontId="13" fillId="3" borderId="94" xfId="2" applyFont="1" applyFill="1" applyBorder="1" applyAlignment="1">
      <alignment horizontal="left"/>
    </xf>
    <xf numFmtId="0" fontId="13" fillId="3" borderId="140" xfId="2" applyFont="1" applyFill="1" applyBorder="1" applyAlignment="1">
      <alignment horizontal="left"/>
    </xf>
    <xf numFmtId="0" fontId="13" fillId="3" borderId="141" xfId="2" applyFont="1" applyFill="1" applyBorder="1" applyAlignment="1">
      <alignment horizontal="left"/>
    </xf>
    <xf numFmtId="0" fontId="13" fillId="3" borderId="28" xfId="2" applyFont="1" applyFill="1" applyBorder="1" applyAlignment="1">
      <alignment horizontal="left"/>
    </xf>
    <xf numFmtId="0" fontId="13" fillId="3" borderId="66" xfId="2" applyFont="1" applyFill="1" applyBorder="1" applyAlignment="1">
      <alignment horizontal="left"/>
    </xf>
    <xf numFmtId="0" fontId="32" fillId="0" borderId="0" xfId="0" quotePrefix="1" applyFont="1"/>
    <xf numFmtId="0" fontId="28" fillId="0" borderId="28" xfId="0" applyFont="1" applyBorder="1"/>
    <xf numFmtId="0" fontId="21" fillId="0" borderId="18" xfId="0" quotePrefix="1" applyFont="1" applyBorder="1"/>
    <xf numFmtId="0" fontId="21" fillId="0" borderId="37" xfId="0" applyFont="1" applyBorder="1"/>
    <xf numFmtId="0" fontId="13" fillId="3" borderId="43" xfId="2" applyFont="1" applyFill="1" applyBorder="1" applyAlignment="1">
      <alignment horizontal="left"/>
    </xf>
    <xf numFmtId="0" fontId="13" fillId="3" borderId="142" xfId="2" applyFont="1" applyFill="1" applyBorder="1" applyAlignment="1">
      <alignment horizontal="left"/>
    </xf>
    <xf numFmtId="0" fontId="15" fillId="0" borderId="15" xfId="0" applyFont="1" applyBorder="1"/>
    <xf numFmtId="0" fontId="3" fillId="0" borderId="143" xfId="0" applyFont="1" applyBorder="1"/>
    <xf numFmtId="10" fontId="9" fillId="0" borderId="22" xfId="0" applyNumberFormat="1" applyFont="1" applyBorder="1" applyAlignment="1">
      <alignment horizontal="center"/>
    </xf>
    <xf numFmtId="0" fontId="0" fillId="0" borderId="44" xfId="0" applyBorder="1" applyAlignment="1">
      <alignment horizontal="left" vertical="center"/>
    </xf>
    <xf numFmtId="0" fontId="44" fillId="0" borderId="0" xfId="0" applyFont="1" applyAlignment="1">
      <alignment horizontal="left"/>
    </xf>
    <xf numFmtId="0" fontId="47" fillId="0" borderId="0" xfId="0" applyFont="1"/>
    <xf numFmtId="10" fontId="0" fillId="0" borderId="52" xfId="0" applyNumberFormat="1" applyBorder="1"/>
    <xf numFmtId="0" fontId="0" fillId="0" borderId="144" xfId="0" applyBorder="1"/>
    <xf numFmtId="3" fontId="0" fillId="0" borderId="118" xfId="0" applyNumberFormat="1" applyBorder="1"/>
    <xf numFmtId="3" fontId="0" fillId="5" borderId="89" xfId="0" applyNumberFormat="1" applyFill="1" applyBorder="1" applyAlignment="1">
      <alignment horizontal="right"/>
    </xf>
    <xf numFmtId="164" fontId="0" fillId="0" borderId="107" xfId="0" applyNumberFormat="1" applyBorder="1"/>
    <xf numFmtId="9" fontId="0" fillId="0" borderId="18" xfId="0" applyNumberFormat="1" applyBorder="1"/>
    <xf numFmtId="9" fontId="0" fillId="0" borderId="97" xfId="0" applyNumberFormat="1" applyBorder="1"/>
    <xf numFmtId="10" fontId="0" fillId="0" borderId="0" xfId="0" applyNumberFormat="1"/>
    <xf numFmtId="0" fontId="2" fillId="0" borderId="24" xfId="0" applyFont="1" applyBorder="1"/>
    <xf numFmtId="4" fontId="0" fillId="0" borderId="15" xfId="0" applyNumberFormat="1" applyBorder="1"/>
    <xf numFmtId="0" fontId="43" fillId="0" borderId="98" xfId="0" applyFont="1" applyBorder="1" applyAlignment="1">
      <alignment vertical="center"/>
    </xf>
    <xf numFmtId="0" fontId="43" fillId="0" borderId="48" xfId="0" applyFont="1" applyBorder="1" applyAlignment="1">
      <alignment vertical="center"/>
    </xf>
    <xf numFmtId="0" fontId="43" fillId="0" borderId="149" xfId="0" applyFont="1" applyBorder="1" applyAlignment="1">
      <alignment vertical="center"/>
    </xf>
    <xf numFmtId="0" fontId="28" fillId="0" borderId="44" xfId="0" applyFont="1" applyBorder="1"/>
    <xf numFmtId="0" fontId="28" fillId="0" borderId="112" xfId="0" applyFont="1" applyBorder="1"/>
    <xf numFmtId="0" fontId="28" fillId="0" borderId="78" xfId="0" applyFont="1" applyBorder="1"/>
    <xf numFmtId="1" fontId="28" fillId="0" borderId="52" xfId="0" applyNumberFormat="1" applyFont="1" applyBorder="1" applyAlignment="1">
      <alignment horizontal="center"/>
    </xf>
    <xf numFmtId="1" fontId="28" fillId="0" borderId="89" xfId="0" applyNumberFormat="1" applyFont="1" applyBorder="1" applyAlignment="1">
      <alignment horizontal="center"/>
    </xf>
    <xf numFmtId="0" fontId="0" fillId="0" borderId="126" xfId="0" applyBorder="1"/>
    <xf numFmtId="0" fontId="13" fillId="3" borderId="92" xfId="2" applyFont="1" applyFill="1" applyBorder="1" applyAlignment="1">
      <alignment horizontal="left"/>
    </xf>
    <xf numFmtId="2" fontId="0" fillId="0" borderId="52" xfId="0" quotePrefix="1" applyNumberFormat="1" applyBorder="1" applyAlignment="1">
      <alignment vertical="center"/>
    </xf>
    <xf numFmtId="169" fontId="0" fillId="0" borderId="52" xfId="0" applyNumberFormat="1" applyBorder="1"/>
    <xf numFmtId="2" fontId="22" fillId="0" borderId="0" xfId="0" applyNumberFormat="1" applyFont="1" applyAlignment="1">
      <alignment horizontal="center"/>
    </xf>
    <xf numFmtId="3" fontId="0" fillId="0" borderId="96" xfId="0" applyNumberFormat="1" applyBorder="1" applyAlignment="1">
      <alignment horizontal="center"/>
    </xf>
    <xf numFmtId="3" fontId="0" fillId="0" borderId="52" xfId="0" applyNumberFormat="1" applyBorder="1" applyAlignment="1">
      <alignment horizontal="center"/>
    </xf>
    <xf numFmtId="3" fontId="0" fillId="0" borderId="118" xfId="0" applyNumberFormat="1" applyBorder="1" applyAlignment="1">
      <alignment horizontal="center"/>
    </xf>
    <xf numFmtId="170" fontId="0" fillId="0" borderId="88" xfId="0" applyNumberFormat="1" applyBorder="1" applyAlignment="1">
      <alignment horizontal="center"/>
    </xf>
    <xf numFmtId="0" fontId="21" fillId="0" borderId="44" xfId="0" applyFont="1" applyBorder="1"/>
    <xf numFmtId="167" fontId="9" fillId="0" borderId="55" xfId="0" applyNumberFormat="1" applyFont="1" applyBorder="1" applyAlignment="1">
      <alignment horizontal="center" vertical="center"/>
    </xf>
    <xf numFmtId="0" fontId="28" fillId="0" borderId="87" xfId="0" applyFont="1" applyBorder="1"/>
    <xf numFmtId="0" fontId="28" fillId="0" borderId="69" xfId="0" applyFont="1" applyBorder="1"/>
    <xf numFmtId="2" fontId="2" fillId="0" borderId="0" xfId="0" applyNumberFormat="1" applyFont="1" applyAlignment="1">
      <alignment horizontal="left"/>
    </xf>
    <xf numFmtId="0" fontId="39" fillId="0" borderId="0" xfId="0" applyFont="1" applyAlignment="1">
      <alignment horizontal="center"/>
    </xf>
    <xf numFmtId="167" fontId="39" fillId="0" borderId="63" xfId="0" applyNumberFormat="1" applyFont="1" applyBorder="1" applyAlignment="1">
      <alignment horizontal="center" vertical="center"/>
    </xf>
    <xf numFmtId="0" fontId="0" fillId="0" borderId="83" xfId="0" applyBorder="1"/>
    <xf numFmtId="0" fontId="9" fillId="0" borderId="55" xfId="0" applyFont="1" applyBorder="1" applyAlignment="1">
      <alignment horizontal="center"/>
    </xf>
    <xf numFmtId="0" fontId="2" fillId="0" borderId="79" xfId="0" applyFont="1" applyBorder="1"/>
    <xf numFmtId="0" fontId="0" fillId="0" borderId="135" xfId="0" applyBorder="1"/>
    <xf numFmtId="0" fontId="2" fillId="0" borderId="83" xfId="0" applyFont="1" applyBorder="1"/>
    <xf numFmtId="3" fontId="7" fillId="0" borderId="61" xfId="0" applyNumberFormat="1" applyFont="1" applyBorder="1" applyAlignment="1">
      <alignment horizontal="center"/>
    </xf>
    <xf numFmtId="3" fontId="7" fillId="0" borderId="18" xfId="0" applyNumberFormat="1" applyFont="1" applyBorder="1" applyAlignment="1">
      <alignment horizontal="center"/>
    </xf>
    <xf numFmtId="1" fontId="7" fillId="0" borderId="18" xfId="0" applyNumberFormat="1" applyFont="1" applyBorder="1" applyAlignment="1">
      <alignment horizontal="center"/>
    </xf>
    <xf numFmtId="168" fontId="7" fillId="0" borderId="18" xfId="0" applyNumberFormat="1" applyFont="1" applyBorder="1" applyAlignment="1">
      <alignment horizontal="center"/>
    </xf>
    <xf numFmtId="0" fontId="11" fillId="0" borderId="44" xfId="0" applyFont="1" applyBorder="1"/>
    <xf numFmtId="3" fontId="11" fillId="0" borderId="18" xfId="0" applyNumberFormat="1" applyFont="1" applyBorder="1" applyAlignment="1">
      <alignment horizontal="center"/>
    </xf>
    <xf numFmtId="0" fontId="11" fillId="0" borderId="78" xfId="0" applyFont="1" applyBorder="1"/>
    <xf numFmtId="3" fontId="11" fillId="0" borderId="55" xfId="0" applyNumberFormat="1" applyFont="1" applyBorder="1" applyAlignment="1">
      <alignment horizontal="center"/>
    </xf>
    <xf numFmtId="0" fontId="11" fillId="0" borderId="63" xfId="0" applyFont="1" applyBorder="1"/>
    <xf numFmtId="0" fontId="21" fillId="0" borderId="77" xfId="0" quotePrefix="1" applyFont="1" applyBorder="1"/>
    <xf numFmtId="0" fontId="0" fillId="0" borderId="63" xfId="0" applyBorder="1" applyAlignment="1">
      <alignment vertical="center"/>
    </xf>
    <xf numFmtId="0" fontId="9" fillId="0" borderId="120" xfId="0" applyFont="1" applyBorder="1"/>
    <xf numFmtId="0" fontId="21" fillId="0" borderId="10" xfId="0" applyFont="1" applyBorder="1"/>
    <xf numFmtId="0" fontId="26" fillId="0" borderId="18" xfId="0" applyFont="1" applyBorder="1" applyAlignment="1">
      <alignment horizontal="center"/>
    </xf>
    <xf numFmtId="0" fontId="0" fillId="0" borderId="90" xfId="0" applyBorder="1"/>
    <xf numFmtId="10" fontId="0" fillId="4" borderId="138" xfId="0" applyNumberFormat="1" applyFill="1" applyBorder="1"/>
    <xf numFmtId="4" fontId="13" fillId="0" borderId="0" xfId="2" applyNumberFormat="1" applyFont="1" applyAlignment="1">
      <alignment horizontal="right"/>
    </xf>
    <xf numFmtId="0" fontId="13" fillId="3" borderId="93" xfId="2" applyFont="1" applyFill="1" applyBorder="1" applyAlignment="1">
      <alignment horizontal="left"/>
    </xf>
    <xf numFmtId="0" fontId="0" fillId="0" borderId="146" xfId="0" applyBorder="1"/>
    <xf numFmtId="4" fontId="13" fillId="0" borderId="41" xfId="2" applyNumberFormat="1" applyFont="1" applyBorder="1" applyAlignment="1">
      <alignment horizontal="right"/>
    </xf>
    <xf numFmtId="0" fontId="12" fillId="0" borderId="92" xfId="0" applyFont="1" applyBorder="1"/>
    <xf numFmtId="0" fontId="9" fillId="0" borderId="88" xfId="0" applyFont="1" applyBorder="1"/>
    <xf numFmtId="0" fontId="9" fillId="0" borderId="52" xfId="0" applyFont="1" applyBorder="1"/>
    <xf numFmtId="0" fontId="13" fillId="3" borderId="146" xfId="2" applyFont="1" applyFill="1" applyBorder="1" applyAlignment="1">
      <alignment horizontal="left"/>
    </xf>
    <xf numFmtId="0" fontId="32" fillId="0" borderId="60" xfId="0" quotePrefix="1" applyFont="1" applyBorder="1"/>
    <xf numFmtId="0" fontId="28" fillId="0" borderId="10" xfId="0" applyFont="1" applyBorder="1"/>
    <xf numFmtId="0" fontId="28" fillId="0" borderId="126" xfId="0" applyFont="1" applyBorder="1"/>
    <xf numFmtId="0" fontId="28" fillId="0" borderId="58" xfId="0" applyFont="1" applyBorder="1"/>
    <xf numFmtId="0" fontId="28" fillId="0" borderId="8" xfId="0" applyFont="1" applyBorder="1"/>
    <xf numFmtId="0" fontId="28" fillId="0" borderId="114" xfId="0" applyFont="1" applyBorder="1"/>
    <xf numFmtId="0" fontId="28" fillId="0" borderId="36" xfId="0" applyFont="1" applyBorder="1"/>
    <xf numFmtId="0" fontId="28" fillId="0" borderId="110" xfId="0" applyFont="1" applyBorder="1"/>
    <xf numFmtId="0" fontId="28" fillId="0" borderId="66" xfId="0" applyFont="1" applyBorder="1"/>
    <xf numFmtId="0" fontId="28" fillId="0" borderId="96" xfId="0" applyFont="1" applyBorder="1"/>
    <xf numFmtId="0" fontId="24" fillId="3" borderId="95" xfId="2" applyFont="1" applyFill="1" applyBorder="1" applyAlignment="1">
      <alignment horizontal="left"/>
    </xf>
    <xf numFmtId="0" fontId="21" fillId="0" borderId="28" xfId="0" quotePrefix="1" applyFont="1" applyBorder="1" applyAlignment="1">
      <alignment wrapText="1"/>
    </xf>
    <xf numFmtId="2" fontId="0" fillId="0" borderId="129" xfId="0" applyNumberFormat="1" applyBorder="1" applyAlignment="1">
      <alignment horizontal="center"/>
    </xf>
    <xf numFmtId="2" fontId="3" fillId="0" borderId="77" xfId="0" applyNumberFormat="1" applyFont="1" applyBorder="1" applyAlignment="1">
      <alignment horizontal="center"/>
    </xf>
    <xf numFmtId="0" fontId="25" fillId="0" borderId="52" xfId="0" quotePrefix="1" applyFont="1" applyBorder="1"/>
    <xf numFmtId="0" fontId="25" fillId="0" borderId="107" xfId="0" quotePrefix="1" applyFont="1" applyBorder="1"/>
    <xf numFmtId="0" fontId="0" fillId="0" borderId="40" xfId="0" quotePrefix="1" applyBorder="1"/>
    <xf numFmtId="0" fontId="0" fillId="0" borderId="41" xfId="0" quotePrefix="1" applyBorder="1"/>
    <xf numFmtId="0" fontId="3" fillId="0" borderId="120" xfId="0" applyFont="1" applyBorder="1"/>
    <xf numFmtId="164" fontId="3" fillId="0" borderId="97" xfId="0" applyNumberFormat="1" applyFont="1" applyBorder="1"/>
    <xf numFmtId="0" fontId="3" fillId="0" borderId="132" xfId="0" applyFont="1" applyBorder="1"/>
    <xf numFmtId="0" fontId="3" fillId="0" borderId="63" xfId="0" applyFont="1" applyBorder="1"/>
    <xf numFmtId="1" fontId="28" fillId="0" borderId="18" xfId="0" applyNumberFormat="1" applyFont="1" applyBorder="1"/>
    <xf numFmtId="0" fontId="42" fillId="0" borderId="0" xfId="0" applyFont="1"/>
    <xf numFmtId="166" fontId="0" fillId="0" borderId="63" xfId="0" applyNumberFormat="1" applyBorder="1"/>
    <xf numFmtId="0" fontId="9" fillId="0" borderId="29" xfId="0" applyFont="1" applyBorder="1"/>
    <xf numFmtId="0" fontId="13" fillId="3" borderId="150" xfId="2" applyFont="1" applyFill="1" applyBorder="1" applyAlignment="1">
      <alignment horizontal="left"/>
    </xf>
    <xf numFmtId="0" fontId="28" fillId="0" borderId="32" xfId="0" applyFont="1" applyBorder="1"/>
    <xf numFmtId="169" fontId="28" fillId="0" borderId="52" xfId="0" applyNumberFormat="1" applyFont="1" applyBorder="1"/>
    <xf numFmtId="168" fontId="28" fillId="0" borderId="8" xfId="0" applyNumberFormat="1" applyFont="1" applyBorder="1"/>
    <xf numFmtId="0" fontId="18" fillId="0" borderId="17" xfId="0" applyFont="1" applyBorder="1"/>
    <xf numFmtId="0" fontId="3" fillId="0" borderId="31" xfId="0" applyFont="1" applyBorder="1"/>
    <xf numFmtId="0" fontId="0" fillId="0" borderId="101" xfId="0" applyBorder="1"/>
    <xf numFmtId="0" fontId="12" fillId="0" borderId="101" xfId="0" applyFont="1" applyBorder="1"/>
    <xf numFmtId="3" fontId="6" fillId="2" borderId="101" xfId="2" applyNumberFormat="1" applyFont="1" applyFill="1" applyBorder="1" applyAlignment="1">
      <alignment horizontal="left"/>
    </xf>
    <xf numFmtId="3" fontId="8" fillId="2" borderId="101" xfId="2" applyNumberFormat="1" applyFont="1" applyFill="1" applyBorder="1" applyAlignment="1">
      <alignment horizontal="left"/>
    </xf>
    <xf numFmtId="3" fontId="10" fillId="0" borderId="101" xfId="2" applyNumberFormat="1" applyFont="1" applyBorder="1" applyAlignment="1">
      <alignment horizontal="left" vertical="center"/>
    </xf>
    <xf numFmtId="0" fontId="9" fillId="0" borderId="101" xfId="0" applyFont="1" applyBorder="1" applyAlignment="1">
      <alignment horizontal="left"/>
    </xf>
    <xf numFmtId="0" fontId="11" fillId="0" borderId="101" xfId="0" applyFont="1" applyBorder="1" applyAlignment="1">
      <alignment horizontal="left"/>
    </xf>
    <xf numFmtId="3" fontId="0" fillId="0" borderId="107" xfId="0" applyNumberFormat="1" applyBorder="1"/>
    <xf numFmtId="0" fontId="0" fillId="0" borderId="39" xfId="0" applyBorder="1" applyAlignment="1">
      <alignment vertical="center"/>
    </xf>
    <xf numFmtId="0" fontId="0" fillId="0" borderId="145" xfId="0" applyBorder="1" applyAlignment="1">
      <alignment horizontal="center"/>
    </xf>
    <xf numFmtId="0" fontId="0" fillId="0" borderId="153" xfId="0" applyBorder="1" applyAlignment="1">
      <alignment horizontal="center"/>
    </xf>
    <xf numFmtId="0" fontId="0" fillId="0" borderId="137" xfId="0" applyBorder="1" applyAlignment="1">
      <alignment horizontal="center"/>
    </xf>
    <xf numFmtId="3" fontId="0" fillId="0" borderId="20" xfId="0" applyNumberFormat="1" applyBorder="1"/>
    <xf numFmtId="0" fontId="0" fillId="4" borderId="61" xfId="0" applyFill="1" applyBorder="1"/>
    <xf numFmtId="168" fontId="28" fillId="0" borderId="0" xfId="0" quotePrefix="1" applyNumberFormat="1" applyFont="1"/>
    <xf numFmtId="0" fontId="2" fillId="0" borderId="66" xfId="0" applyFont="1" applyBorder="1"/>
    <xf numFmtId="0" fontId="0" fillId="0" borderId="128" xfId="0" applyBorder="1"/>
    <xf numFmtId="3" fontId="0" fillId="0" borderId="85" xfId="0" applyNumberFormat="1" applyBorder="1"/>
    <xf numFmtId="0" fontId="0" fillId="0" borderId="82" xfId="0" applyBorder="1" applyAlignment="1">
      <alignment vertical="center"/>
    </xf>
    <xf numFmtId="0" fontId="28" fillId="0" borderId="0" xfId="0" applyFont="1" applyAlignment="1">
      <alignment vertical="center"/>
    </xf>
    <xf numFmtId="0" fontId="3" fillId="0" borderId="82" xfId="0" applyFont="1" applyBorder="1" applyAlignment="1">
      <alignment vertical="center"/>
    </xf>
    <xf numFmtId="0" fontId="0" fillId="0" borderId="44" xfId="0" applyBorder="1" applyAlignment="1">
      <alignment vertical="center"/>
    </xf>
    <xf numFmtId="0" fontId="0" fillId="0" borderId="78" xfId="0" applyBorder="1" applyAlignment="1">
      <alignment vertical="center"/>
    </xf>
    <xf numFmtId="0" fontId="21" fillId="0" borderId="64" xfId="0" applyFont="1" applyBorder="1"/>
    <xf numFmtId="0" fontId="0" fillId="0" borderId="17" xfId="0" applyBorder="1" applyAlignment="1">
      <alignment vertical="center"/>
    </xf>
    <xf numFmtId="0" fontId="21" fillId="0" borderId="52" xfId="0" applyFont="1" applyBorder="1" applyAlignment="1">
      <alignment wrapText="1"/>
    </xf>
    <xf numFmtId="0" fontId="21" fillId="0" borderId="75" xfId="0" quotePrefix="1" applyFont="1" applyBorder="1" applyAlignment="1">
      <alignment wrapText="1"/>
    </xf>
    <xf numFmtId="0" fontId="21" fillId="0" borderId="96" xfId="0" applyFont="1" applyBorder="1"/>
    <xf numFmtId="0" fontId="28" fillId="0" borderId="0" xfId="0" quotePrefix="1" applyFont="1"/>
    <xf numFmtId="0" fontId="18" fillId="0" borderId="120" xfId="0" applyFont="1" applyBorder="1"/>
    <xf numFmtId="0" fontId="21" fillId="0" borderId="113" xfId="0" quotePrefix="1" applyFont="1" applyBorder="1"/>
    <xf numFmtId="0" fontId="0" fillId="0" borderId="46" xfId="0" applyBorder="1" applyAlignment="1">
      <alignment horizontal="left" vertical="center"/>
    </xf>
    <xf numFmtId="169" fontId="42" fillId="0" borderId="52" xfId="0" applyNumberFormat="1" applyFont="1" applyBorder="1"/>
    <xf numFmtId="0" fontId="21" fillId="0" borderId="131" xfId="0" applyFont="1" applyBorder="1"/>
    <xf numFmtId="0" fontId="13" fillId="3" borderId="151" xfId="2" applyFont="1" applyFill="1" applyBorder="1" applyAlignment="1">
      <alignment horizontal="left"/>
    </xf>
    <xf numFmtId="0" fontId="13" fillId="3" borderId="152" xfId="2" applyFont="1" applyFill="1" applyBorder="1" applyAlignment="1">
      <alignment horizontal="left"/>
    </xf>
    <xf numFmtId="3" fontId="20" fillId="0" borderId="10" xfId="0" applyNumberFormat="1" applyFont="1" applyBorder="1"/>
    <xf numFmtId="2" fontId="0" fillId="0" borderId="26" xfId="0" applyNumberFormat="1" applyBorder="1"/>
    <xf numFmtId="171" fontId="31" fillId="0" borderId="27" xfId="0" applyNumberFormat="1" applyFont="1" applyBorder="1" applyAlignment="1">
      <alignment horizontal="left"/>
    </xf>
    <xf numFmtId="171" fontId="31" fillId="0" borderId="19" xfId="1" applyNumberFormat="1" applyFont="1" applyFill="1" applyBorder="1" applyAlignment="1">
      <alignment horizontal="left"/>
    </xf>
    <xf numFmtId="170" fontId="0" fillId="0" borderId="0" xfId="0" applyNumberFormat="1" applyAlignment="1">
      <alignment horizontal="center"/>
    </xf>
    <xf numFmtId="0" fontId="3" fillId="0" borderId="101" xfId="0" applyFont="1" applyBorder="1"/>
    <xf numFmtId="0" fontId="9" fillId="0" borderId="28" xfId="0" applyFont="1" applyBorder="1" applyAlignment="1">
      <alignment horizontal="center"/>
    </xf>
    <xf numFmtId="0" fontId="9" fillId="0" borderId="12" xfId="0" applyFont="1" applyBorder="1"/>
    <xf numFmtId="0" fontId="9" fillId="0" borderId="34" xfId="0" applyFont="1" applyBorder="1" applyAlignment="1">
      <alignment horizontal="center"/>
    </xf>
    <xf numFmtId="0" fontId="9" fillId="0" borderId="37" xfId="0" applyFont="1" applyBorder="1" applyAlignment="1">
      <alignment horizontal="center"/>
    </xf>
    <xf numFmtId="0" fontId="9" fillId="0" borderId="18" xfId="0" applyFont="1" applyBorder="1" applyAlignment="1">
      <alignment horizontal="center"/>
    </xf>
    <xf numFmtId="0" fontId="9" fillId="0" borderId="10" xfId="0" applyFont="1" applyBorder="1" applyAlignment="1">
      <alignment horizontal="center"/>
    </xf>
    <xf numFmtId="0" fontId="18" fillId="0" borderId="18" xfId="0" applyFont="1" applyBorder="1" applyAlignment="1">
      <alignment horizontal="center" vertical="center"/>
    </xf>
    <xf numFmtId="0" fontId="9" fillId="0" borderId="35" xfId="0" applyFont="1" applyBorder="1"/>
    <xf numFmtId="0" fontId="9" fillId="0" borderId="33" xfId="0" applyFont="1" applyBorder="1" applyAlignment="1">
      <alignment horizontal="center"/>
    </xf>
    <xf numFmtId="0" fontId="9" fillId="0" borderId="154" xfId="0" applyFont="1" applyBorder="1"/>
    <xf numFmtId="0" fontId="9" fillId="0" borderId="6" xfId="0" applyFont="1" applyBorder="1" applyAlignment="1">
      <alignment horizontal="center"/>
    </xf>
    <xf numFmtId="0" fontId="9" fillId="0" borderId="8" xfId="0" applyFont="1" applyBorder="1" applyAlignment="1">
      <alignment horizontal="center"/>
    </xf>
    <xf numFmtId="0" fontId="18" fillId="0" borderId="10" xfId="0" applyFont="1" applyBorder="1" applyAlignment="1">
      <alignment horizontal="center" vertical="center"/>
    </xf>
    <xf numFmtId="0" fontId="18" fillId="0" borderId="35" xfId="0" applyFont="1" applyBorder="1"/>
    <xf numFmtId="0" fontId="18" fillId="0" borderId="8" xfId="0" applyFont="1" applyBorder="1" applyAlignment="1">
      <alignment horizontal="center" vertical="center"/>
    </xf>
    <xf numFmtId="0" fontId="9" fillId="0" borderId="136" xfId="0" applyFont="1" applyBorder="1"/>
    <xf numFmtId="0" fontId="9" fillId="0" borderId="157" xfId="0" applyFont="1" applyBorder="1" applyAlignment="1">
      <alignment horizontal="center"/>
    </xf>
    <xf numFmtId="164" fontId="9" fillId="0" borderId="55" xfId="0" applyNumberFormat="1" applyFont="1" applyBorder="1"/>
    <xf numFmtId="0" fontId="9" fillId="0" borderId="78" xfId="0" applyFont="1" applyBorder="1"/>
    <xf numFmtId="0" fontId="43" fillId="0" borderId="40" xfId="0" applyFont="1" applyBorder="1" applyAlignment="1">
      <alignment vertical="center"/>
    </xf>
    <xf numFmtId="0" fontId="43" fillId="0" borderId="148" xfId="0" applyFont="1" applyBorder="1" applyAlignment="1">
      <alignment vertical="center"/>
    </xf>
    <xf numFmtId="0" fontId="43" fillId="0" borderId="147" xfId="0" applyFont="1" applyBorder="1" applyAlignment="1">
      <alignment vertical="center"/>
    </xf>
    <xf numFmtId="0" fontId="12" fillId="0" borderId="58" xfId="0" applyFont="1" applyBorder="1" applyAlignment="1">
      <alignment vertical="center"/>
    </xf>
    <xf numFmtId="0" fontId="12" fillId="0" borderId="110" xfId="0" applyFont="1" applyBorder="1" applyAlignment="1">
      <alignment vertical="center"/>
    </xf>
    <xf numFmtId="0" fontId="28" fillId="0" borderId="89" xfId="0" quotePrefix="1" applyFont="1" applyBorder="1"/>
    <xf numFmtId="9" fontId="0" fillId="0" borderId="48" xfId="0" applyNumberFormat="1" applyBorder="1"/>
    <xf numFmtId="0" fontId="0" fillId="0" borderId="62" xfId="0" applyBorder="1" applyAlignment="1">
      <alignment wrapText="1"/>
    </xf>
    <xf numFmtId="0" fontId="21" fillId="0" borderId="88" xfId="0" applyFont="1" applyBorder="1" applyAlignment="1">
      <alignment wrapText="1"/>
    </xf>
    <xf numFmtId="0" fontId="32" fillId="0" borderId="52" xfId="0" quotePrefix="1" applyFont="1" applyBorder="1"/>
    <xf numFmtId="0" fontId="13" fillId="3" borderId="57" xfId="2" applyFont="1" applyFill="1" applyBorder="1" applyAlignment="1">
      <alignment horizontal="center" vertical="center"/>
    </xf>
    <xf numFmtId="0" fontId="13" fillId="3" borderId="61" xfId="2" applyFont="1" applyFill="1" applyBorder="1" applyAlignment="1">
      <alignment horizontal="center" vertical="center"/>
    </xf>
    <xf numFmtId="0" fontId="13" fillId="3" borderId="61" xfId="2" applyFont="1" applyFill="1" applyBorder="1" applyAlignment="1">
      <alignment horizontal="center" vertical="center" wrapText="1"/>
    </xf>
    <xf numFmtId="0" fontId="13" fillId="3" borderId="92" xfId="2" applyFont="1" applyFill="1" applyBorder="1" applyAlignment="1">
      <alignment horizontal="center" vertical="center"/>
    </xf>
    <xf numFmtId="0" fontId="9" fillId="0" borderId="89" xfId="0" applyFont="1" applyBorder="1"/>
    <xf numFmtId="0" fontId="9" fillId="0" borderId="85" xfId="0" applyFont="1" applyBorder="1"/>
    <xf numFmtId="0" fontId="13" fillId="0" borderId="0" xfId="2" applyFont="1" applyAlignment="1">
      <alignment horizontal="center" vertical="center"/>
    </xf>
    <xf numFmtId="0" fontId="7" fillId="0" borderId="0" xfId="0" applyFont="1" applyAlignment="1">
      <alignment horizontal="center"/>
    </xf>
    <xf numFmtId="2" fontId="7" fillId="0" borderId="0" xfId="0" applyNumberFormat="1" applyFont="1" applyAlignment="1">
      <alignment horizontal="center"/>
    </xf>
    <xf numFmtId="0" fontId="9" fillId="0" borderId="0" xfId="0" applyFont="1" applyAlignment="1">
      <alignment horizontal="center"/>
    </xf>
    <xf numFmtId="0" fontId="3" fillId="3" borderId="93" xfId="0" applyFont="1" applyFill="1" applyBorder="1" applyAlignment="1">
      <alignment horizontal="left" vertical="center"/>
    </xf>
    <xf numFmtId="0" fontId="13" fillId="3" borderId="71" xfId="2" applyFont="1" applyFill="1" applyBorder="1" applyAlignment="1">
      <alignment horizontal="center" vertical="center" wrapText="1"/>
    </xf>
    <xf numFmtId="0" fontId="13" fillId="3" borderId="91" xfId="2" applyFont="1" applyFill="1" applyBorder="1" applyAlignment="1">
      <alignment horizontal="center" vertical="center"/>
    </xf>
    <xf numFmtId="3" fontId="0" fillId="0" borderId="114" xfId="0" applyNumberFormat="1" applyBorder="1"/>
    <xf numFmtId="164" fontId="51" fillId="0" borderId="52" xfId="0" applyNumberFormat="1" applyFont="1" applyBorder="1" applyAlignment="1">
      <alignment vertical="center"/>
    </xf>
    <xf numFmtId="0" fontId="13" fillId="3" borderId="158" xfId="2" applyFont="1" applyFill="1" applyBorder="1" applyAlignment="1">
      <alignment horizontal="left"/>
    </xf>
    <xf numFmtId="2" fontId="0" fillId="0" borderId="0" xfId="0" applyNumberFormat="1" applyAlignment="1">
      <alignment horizontal="center"/>
    </xf>
    <xf numFmtId="4" fontId="0" fillId="0" borderId="0" xfId="0" applyNumberFormat="1" applyAlignment="1">
      <alignment horizontal="center"/>
    </xf>
    <xf numFmtId="0" fontId="14" fillId="0" borderId="0" xfId="0" applyFont="1" applyAlignment="1">
      <alignment horizontal="center"/>
    </xf>
    <xf numFmtId="4" fontId="28" fillId="0" borderId="0" xfId="0" applyNumberFormat="1" applyFont="1" applyAlignment="1">
      <alignment horizontal="center"/>
    </xf>
    <xf numFmtId="0" fontId="28" fillId="0" borderId="0" xfId="0" applyFont="1" applyAlignment="1">
      <alignment horizontal="center"/>
    </xf>
    <xf numFmtId="0" fontId="41" fillId="0" borderId="0" xfId="0" applyFont="1" applyAlignment="1">
      <alignment horizontal="center"/>
    </xf>
    <xf numFmtId="168" fontId="0" fillId="0" borderId="101" xfId="0" quotePrefix="1" applyNumberFormat="1" applyBorder="1" applyAlignment="1">
      <alignment horizontal="center"/>
    </xf>
    <xf numFmtId="168" fontId="0" fillId="0" borderId="104" xfId="0" quotePrefix="1" applyNumberFormat="1" applyBorder="1" applyAlignment="1">
      <alignment horizontal="center"/>
    </xf>
    <xf numFmtId="168" fontId="0" fillId="0" borderId="105" xfId="0" quotePrefix="1" applyNumberFormat="1" applyBorder="1" applyAlignment="1">
      <alignment horizontal="center"/>
    </xf>
    <xf numFmtId="0" fontId="3" fillId="6" borderId="102" xfId="0" applyFont="1" applyFill="1" applyBorder="1" applyAlignment="1">
      <alignment horizontal="center"/>
    </xf>
    <xf numFmtId="0" fontId="0" fillId="0" borderId="0" xfId="0" quotePrefix="1" applyAlignment="1">
      <alignment horizontal="center"/>
    </xf>
    <xf numFmtId="168" fontId="0" fillId="0" borderId="159" xfId="0" applyNumberFormat="1" applyBorder="1" applyAlignment="1">
      <alignment horizontal="center"/>
    </xf>
    <xf numFmtId="168" fontId="0" fillId="0" borderId="102" xfId="0" quotePrefix="1" applyNumberFormat="1" applyBorder="1" applyAlignment="1">
      <alignment horizontal="center"/>
    </xf>
    <xf numFmtId="0" fontId="3" fillId="6" borderId="96" xfId="0" applyFont="1" applyFill="1" applyBorder="1" applyAlignment="1">
      <alignment horizontal="center"/>
    </xf>
    <xf numFmtId="0" fontId="3" fillId="6" borderId="108" xfId="0" applyFont="1" applyFill="1" applyBorder="1" applyAlignment="1">
      <alignment horizontal="center"/>
    </xf>
    <xf numFmtId="0" fontId="3" fillId="6" borderId="144" xfId="0" applyFont="1" applyFill="1" applyBorder="1" applyAlignment="1">
      <alignment horizontal="center"/>
    </xf>
    <xf numFmtId="168" fontId="0" fillId="0" borderId="103" xfId="0" applyNumberFormat="1" applyBorder="1" applyAlignment="1">
      <alignment horizontal="center"/>
    </xf>
    <xf numFmtId="168" fontId="0" fillId="0" borderId="76" xfId="0" applyNumberFormat="1" applyBorder="1" applyAlignment="1">
      <alignment horizontal="center"/>
    </xf>
    <xf numFmtId="164" fontId="0" fillId="2" borderId="81" xfId="0" applyNumberFormat="1" applyFill="1" applyBorder="1" applyProtection="1">
      <protection locked="0"/>
    </xf>
    <xf numFmtId="0" fontId="0" fillId="0" borderId="100" xfId="0" applyBorder="1"/>
    <xf numFmtId="0" fontId="28" fillId="0" borderId="88" xfId="0" applyFont="1" applyBorder="1"/>
    <xf numFmtId="9" fontId="21" fillId="0" borderId="52" xfId="0" quotePrefix="1" applyNumberFormat="1" applyFont="1" applyBorder="1"/>
    <xf numFmtId="0" fontId="28" fillId="0" borderId="17" xfId="0" applyFont="1" applyBorder="1"/>
    <xf numFmtId="164" fontId="9" fillId="2" borderId="28" xfId="0" applyNumberFormat="1" applyFont="1" applyFill="1" applyBorder="1" applyProtection="1">
      <protection locked="0"/>
    </xf>
    <xf numFmtId="3" fontId="0" fillId="0" borderId="31" xfId="0" applyNumberFormat="1" applyBorder="1"/>
    <xf numFmtId="0" fontId="53" fillId="0" borderId="0" xfId="0" applyFont="1" applyAlignment="1">
      <alignment horizontal="left"/>
    </xf>
    <xf numFmtId="3" fontId="54" fillId="0" borderId="18" xfId="0" applyNumberFormat="1" applyFont="1" applyBorder="1"/>
    <xf numFmtId="3" fontId="55" fillId="0" borderId="117" xfId="0" applyNumberFormat="1" applyFont="1" applyBorder="1"/>
    <xf numFmtId="3" fontId="55" fillId="0" borderId="18" xfId="0" applyNumberFormat="1" applyFont="1" applyBorder="1"/>
    <xf numFmtId="3" fontId="55" fillId="0" borderId="53" xfId="0" applyNumberFormat="1" applyFont="1" applyBorder="1"/>
    <xf numFmtId="0" fontId="40" fillId="0" borderId="0" xfId="0" applyFont="1" applyAlignment="1">
      <alignment horizontal="left"/>
    </xf>
    <xf numFmtId="0" fontId="57" fillId="0" borderId="0" xfId="0" applyFont="1" applyAlignment="1">
      <alignment horizontal="left"/>
    </xf>
    <xf numFmtId="0" fontId="2" fillId="0" borderId="18" xfId="0" applyFont="1" applyBorder="1"/>
    <xf numFmtId="0" fontId="21" fillId="0" borderId="18" xfId="0" quotePrefix="1" applyFont="1" applyBorder="1" applyAlignment="1">
      <alignment wrapText="1"/>
    </xf>
    <xf numFmtId="167" fontId="0" fillId="0" borderId="161" xfId="0" applyNumberFormat="1" applyBorder="1" applyAlignment="1">
      <alignment horizontal="center"/>
    </xf>
    <xf numFmtId="3" fontId="55" fillId="0" borderId="50" xfId="0" applyNumberFormat="1" applyFont="1" applyBorder="1"/>
    <xf numFmtId="166" fontId="55" fillId="0" borderId="18" xfId="0" applyNumberFormat="1" applyFont="1" applyBorder="1"/>
    <xf numFmtId="3" fontId="55" fillId="0" borderId="10" xfId="0" applyNumberFormat="1" applyFont="1" applyBorder="1"/>
    <xf numFmtId="3" fontId="54" fillId="0" borderId="15" xfId="0" applyNumberFormat="1" applyFont="1" applyBorder="1"/>
    <xf numFmtId="3" fontId="55" fillId="0" borderId="22" xfId="0" applyNumberFormat="1" applyFont="1" applyBorder="1"/>
    <xf numFmtId="3" fontId="55" fillId="0" borderId="61" xfId="0" applyNumberFormat="1" applyFont="1" applyBorder="1"/>
    <xf numFmtId="3" fontId="55" fillId="0" borderId="113" xfId="0" applyNumberFormat="1" applyFont="1" applyBorder="1"/>
    <xf numFmtId="0" fontId="58" fillId="0" borderId="0" xfId="0" applyFont="1"/>
    <xf numFmtId="0" fontId="3" fillId="0" borderId="0" xfId="0" applyFont="1" applyAlignment="1">
      <alignment horizontal="center"/>
    </xf>
    <xf numFmtId="168" fontId="0" fillId="0" borderId="0" xfId="0" applyNumberFormat="1" applyAlignment="1">
      <alignment horizontal="center"/>
    </xf>
    <xf numFmtId="168" fontId="0" fillId="0" borderId="0" xfId="0" quotePrefix="1" applyNumberFormat="1" applyAlignment="1">
      <alignment horizontal="center"/>
    </xf>
    <xf numFmtId="168" fontId="0" fillId="7" borderId="101" xfId="0" quotePrefix="1" applyNumberFormat="1" applyFill="1" applyBorder="1" applyAlignment="1">
      <alignment horizontal="center"/>
    </xf>
    <xf numFmtId="168" fontId="0" fillId="7" borderId="76" xfId="0" applyNumberFormat="1" applyFill="1" applyBorder="1" applyAlignment="1">
      <alignment horizontal="center"/>
    </xf>
    <xf numFmtId="168" fontId="0" fillId="7" borderId="99" xfId="0" quotePrefix="1" applyNumberFormat="1" applyFill="1" applyBorder="1" applyAlignment="1">
      <alignment horizontal="center"/>
    </xf>
    <xf numFmtId="168" fontId="0" fillId="7" borderId="41" xfId="0" applyNumberFormat="1" applyFill="1" applyBorder="1" applyAlignment="1">
      <alignment horizontal="center"/>
    </xf>
    <xf numFmtId="0" fontId="24" fillId="3" borderId="16" xfId="2" applyFont="1" applyFill="1" applyBorder="1" applyAlignment="1">
      <alignment horizontal="left"/>
    </xf>
    <xf numFmtId="0" fontId="0" fillId="0" borderId="162" xfId="0" applyBorder="1"/>
    <xf numFmtId="0" fontId="0" fillId="0" borderId="163" xfId="0" applyBorder="1"/>
    <xf numFmtId="0" fontId="0" fillId="0" borderId="164" xfId="0" applyBorder="1"/>
    <xf numFmtId="0" fontId="13" fillId="3" borderId="165" xfId="2" applyFont="1" applyFill="1" applyBorder="1" applyAlignment="1">
      <alignment horizontal="left"/>
    </xf>
    <xf numFmtId="0" fontId="13" fillId="3" borderId="166" xfId="2" applyFont="1" applyFill="1" applyBorder="1" applyAlignment="1">
      <alignment horizontal="left"/>
    </xf>
    <xf numFmtId="0" fontId="0" fillId="0" borderId="167" xfId="0" applyBorder="1"/>
    <xf numFmtId="0" fontId="0" fillId="0" borderId="168" xfId="0" applyBorder="1"/>
    <xf numFmtId="0" fontId="24" fillId="3" borderId="19" xfId="2" applyFont="1" applyFill="1" applyBorder="1" applyAlignment="1">
      <alignment horizontal="left"/>
    </xf>
    <xf numFmtId="0" fontId="0" fillId="0" borderId="170" xfId="0" applyBorder="1"/>
    <xf numFmtId="0" fontId="0" fillId="0" borderId="172" xfId="0" applyBorder="1"/>
    <xf numFmtId="0" fontId="0" fillId="0" borderId="174" xfId="0" applyBorder="1"/>
    <xf numFmtId="9" fontId="0" fillId="0" borderId="0" xfId="0" applyNumberFormat="1"/>
    <xf numFmtId="0" fontId="0" fillId="0" borderId="176" xfId="0" applyBorder="1"/>
    <xf numFmtId="3" fontId="0" fillId="5" borderId="18" xfId="0" applyNumberFormat="1" applyFill="1" applyBorder="1" applyProtection="1">
      <protection locked="0"/>
    </xf>
    <xf numFmtId="0" fontId="13" fillId="3" borderId="22" xfId="2" applyFont="1" applyFill="1" applyBorder="1" applyAlignment="1" applyProtection="1">
      <alignment horizontal="left"/>
      <protection locked="0"/>
    </xf>
    <xf numFmtId="164" fontId="0" fillId="5" borderId="0" xfId="0" applyNumberFormat="1" applyFill="1" applyProtection="1">
      <protection locked="0"/>
    </xf>
    <xf numFmtId="3" fontId="0" fillId="5" borderId="0" xfId="0" applyNumberFormat="1" applyFill="1" applyProtection="1">
      <protection locked="0"/>
    </xf>
    <xf numFmtId="3" fontId="0" fillId="5" borderId="23" xfId="0" applyNumberFormat="1" applyFill="1" applyBorder="1" applyProtection="1">
      <protection locked="0"/>
    </xf>
    <xf numFmtId="0" fontId="13" fillId="3" borderId="2" xfId="2" applyFont="1" applyFill="1" applyBorder="1" applyAlignment="1" applyProtection="1">
      <alignment horizontal="left"/>
      <protection locked="0"/>
    </xf>
    <xf numFmtId="166" fontId="0" fillId="2" borderId="23" xfId="0" applyNumberFormat="1" applyFill="1" applyBorder="1" applyProtection="1">
      <protection locked="0"/>
    </xf>
    <xf numFmtId="0" fontId="13" fillId="3" borderId="151" xfId="2" applyFont="1" applyFill="1" applyBorder="1" applyAlignment="1" applyProtection="1">
      <alignment horizontal="left"/>
      <protection locked="0"/>
    </xf>
    <xf numFmtId="9" fontId="0" fillId="2" borderId="52" xfId="0" applyNumberFormat="1" applyFill="1" applyBorder="1" applyProtection="1">
      <protection locked="0"/>
    </xf>
    <xf numFmtId="1" fontId="0" fillId="2" borderId="89" xfId="0" applyNumberFormat="1" applyFill="1" applyBorder="1" applyProtection="1">
      <protection locked="0"/>
    </xf>
    <xf numFmtId="3" fontId="0" fillId="2" borderId="88" xfId="0" applyNumberFormat="1" applyFill="1" applyBorder="1" applyAlignment="1" applyProtection="1">
      <alignment horizontal="right" vertical="center"/>
      <protection locked="0"/>
    </xf>
    <xf numFmtId="164" fontId="0" fillId="2" borderId="52" xfId="0" applyNumberFormat="1" applyFill="1" applyBorder="1" applyProtection="1">
      <protection locked="0"/>
    </xf>
    <xf numFmtId="3" fontId="0" fillId="2" borderId="89" xfId="0" applyNumberFormat="1" applyFill="1" applyBorder="1" applyProtection="1">
      <protection locked="0"/>
    </xf>
    <xf numFmtId="4" fontId="0" fillId="2" borderId="18" xfId="0" applyNumberFormat="1" applyFill="1" applyBorder="1" applyProtection="1">
      <protection locked="0"/>
    </xf>
    <xf numFmtId="3" fontId="0" fillId="5" borderId="52" xfId="0" applyNumberFormat="1" applyFill="1" applyBorder="1" applyProtection="1">
      <protection locked="0"/>
    </xf>
    <xf numFmtId="9" fontId="0" fillId="2" borderId="89" xfId="0" applyNumberFormat="1" applyFill="1" applyBorder="1" applyProtection="1">
      <protection locked="0"/>
    </xf>
    <xf numFmtId="169" fontId="0" fillId="5" borderId="52" xfId="0" applyNumberFormat="1" applyFill="1" applyBorder="1" applyProtection="1">
      <protection locked="0"/>
    </xf>
    <xf numFmtId="0" fontId="0" fillId="2" borderId="89" xfId="0" applyFill="1" applyBorder="1" applyProtection="1">
      <protection locked="0"/>
    </xf>
    <xf numFmtId="9" fontId="0" fillId="5" borderId="52" xfId="0" applyNumberFormat="1" applyFill="1" applyBorder="1" applyProtection="1">
      <protection locked="0"/>
    </xf>
    <xf numFmtId="2" fontId="0" fillId="5" borderId="52" xfId="0" applyNumberFormat="1" applyFill="1" applyBorder="1" applyProtection="1">
      <protection locked="0"/>
    </xf>
    <xf numFmtId="9" fontId="0" fillId="5" borderId="20" xfId="0" applyNumberFormat="1" applyFill="1" applyBorder="1" applyProtection="1">
      <protection locked="0"/>
    </xf>
    <xf numFmtId="1" fontId="28" fillId="2" borderId="0" xfId="0" applyNumberFormat="1" applyFont="1" applyFill="1" applyProtection="1">
      <protection locked="0"/>
    </xf>
    <xf numFmtId="168" fontId="0" fillId="2" borderId="0" xfId="0" applyNumberFormat="1" applyFill="1" applyProtection="1">
      <protection locked="0"/>
    </xf>
    <xf numFmtId="164" fontId="0" fillId="2" borderId="18" xfId="0" applyNumberFormat="1" applyFill="1" applyBorder="1" applyProtection="1">
      <protection locked="0"/>
    </xf>
    <xf numFmtId="4" fontId="0" fillId="5" borderId="18" xfId="0" applyNumberFormat="1" applyFill="1" applyBorder="1" applyAlignment="1" applyProtection="1">
      <alignment vertical="center"/>
      <protection locked="0"/>
    </xf>
    <xf numFmtId="3" fontId="0" fillId="2" borderId="52" xfId="0" applyNumberFormat="1" applyFill="1" applyBorder="1" applyProtection="1">
      <protection locked="0"/>
    </xf>
    <xf numFmtId="3" fontId="0" fillId="2" borderId="10" xfId="0" applyNumberFormat="1" applyFill="1" applyBorder="1" applyProtection="1">
      <protection locked="0"/>
    </xf>
    <xf numFmtId="164" fontId="0" fillId="2" borderId="10" xfId="0" applyNumberFormat="1" applyFill="1" applyBorder="1" applyProtection="1">
      <protection locked="0"/>
    </xf>
    <xf numFmtId="3" fontId="0" fillId="5" borderId="10" xfId="0" applyNumberFormat="1" applyFill="1" applyBorder="1" applyProtection="1">
      <protection locked="0"/>
    </xf>
    <xf numFmtId="9" fontId="0" fillId="2" borderId="18" xfId="0" applyNumberFormat="1" applyFill="1" applyBorder="1" applyProtection="1">
      <protection locked="0"/>
    </xf>
    <xf numFmtId="9" fontId="0" fillId="2" borderId="0" xfId="0" applyNumberFormat="1" applyFill="1" applyProtection="1">
      <protection locked="0"/>
    </xf>
    <xf numFmtId="4" fontId="0" fillId="2" borderId="61" xfId="0" applyNumberFormat="1" applyFill="1" applyBorder="1" applyProtection="1">
      <protection locked="0"/>
    </xf>
    <xf numFmtId="168" fontId="0" fillId="2" borderId="20" xfId="0" applyNumberFormat="1" applyFill="1" applyBorder="1" applyAlignment="1" applyProtection="1">
      <alignment horizontal="center"/>
      <protection locked="0"/>
    </xf>
    <xf numFmtId="2" fontId="0" fillId="2" borderId="113" xfId="0" applyNumberFormat="1" applyFill="1" applyBorder="1" applyAlignment="1" applyProtection="1">
      <alignment horizontal="center"/>
      <protection locked="0"/>
    </xf>
    <xf numFmtId="2" fontId="0" fillId="2" borderId="0" xfId="0" applyNumberFormat="1" applyFill="1" applyAlignment="1" applyProtection="1">
      <alignment horizontal="center"/>
      <protection locked="0"/>
    </xf>
    <xf numFmtId="0" fontId="0" fillId="2" borderId="61" xfId="0" applyFill="1" applyBorder="1" applyAlignment="1" applyProtection="1">
      <alignment horizontal="center"/>
      <protection locked="0"/>
    </xf>
    <xf numFmtId="0" fontId="0" fillId="2" borderId="18" xfId="0" applyFill="1" applyBorder="1" applyAlignment="1" applyProtection="1">
      <alignment horizontal="center"/>
      <protection locked="0"/>
    </xf>
    <xf numFmtId="2" fontId="0" fillId="2" borderId="18" xfId="0" applyNumberFormat="1" applyFill="1" applyBorder="1" applyAlignment="1" applyProtection="1">
      <alignment horizontal="center"/>
      <protection locked="0"/>
    </xf>
    <xf numFmtId="169" fontId="0" fillId="2" borderId="18" xfId="0" applyNumberFormat="1" applyFill="1" applyBorder="1" applyAlignment="1" applyProtection="1">
      <alignment horizontal="center"/>
      <protection locked="0"/>
    </xf>
    <xf numFmtId="0" fontId="7" fillId="2" borderId="62" xfId="0" applyFont="1" applyFill="1" applyBorder="1" applyAlignment="1" applyProtection="1">
      <alignment horizontal="center"/>
      <protection locked="0"/>
    </xf>
    <xf numFmtId="0" fontId="7" fillId="2" borderId="48" xfId="0" applyFont="1" applyFill="1" applyBorder="1" applyAlignment="1" applyProtection="1">
      <alignment horizontal="center"/>
      <protection locked="0"/>
    </xf>
    <xf numFmtId="2" fontId="7" fillId="2" borderId="48" xfId="0" applyNumberFormat="1" applyFont="1" applyFill="1" applyBorder="1" applyAlignment="1" applyProtection="1">
      <alignment horizontal="center"/>
      <protection locked="0"/>
    </xf>
    <xf numFmtId="0" fontId="9" fillId="2" borderId="56" xfId="0" applyFont="1" applyFill="1" applyBorder="1" applyAlignment="1" applyProtection="1">
      <alignment horizontal="center"/>
      <protection locked="0"/>
    </xf>
    <xf numFmtId="4" fontId="9" fillId="2" borderId="19" xfId="0" applyNumberFormat="1" applyFont="1" applyFill="1" applyBorder="1" applyAlignment="1" applyProtection="1">
      <alignment horizontal="center"/>
      <protection locked="0"/>
    </xf>
    <xf numFmtId="4" fontId="9" fillId="2" borderId="11" xfId="0" applyNumberFormat="1" applyFont="1" applyFill="1" applyBorder="1" applyAlignment="1" applyProtection="1">
      <alignment horizontal="center"/>
      <protection locked="0"/>
    </xf>
    <xf numFmtId="4" fontId="9" fillId="2" borderId="9" xfId="0" applyNumberFormat="1" applyFont="1" applyFill="1" applyBorder="1" applyAlignment="1" applyProtection="1">
      <alignment horizontal="center"/>
      <protection locked="0"/>
    </xf>
    <xf numFmtId="4" fontId="9" fillId="2" borderId="156" xfId="0" applyNumberFormat="1" applyFont="1" applyFill="1" applyBorder="1" applyAlignment="1" applyProtection="1">
      <alignment horizontal="center"/>
      <protection locked="0"/>
    </xf>
    <xf numFmtId="4" fontId="9" fillId="2" borderId="155" xfId="0" applyNumberFormat="1" applyFont="1" applyFill="1" applyBorder="1" applyAlignment="1" applyProtection="1">
      <alignment horizontal="center"/>
      <protection locked="0"/>
    </xf>
    <xf numFmtId="4" fontId="9" fillId="2" borderId="116" xfId="0" applyNumberFormat="1" applyFont="1" applyFill="1" applyBorder="1" applyAlignment="1" applyProtection="1">
      <alignment horizontal="center"/>
      <protection locked="0"/>
    </xf>
    <xf numFmtId="4" fontId="9" fillId="2" borderId="26" xfId="0" applyNumberFormat="1" applyFont="1" applyFill="1" applyBorder="1" applyAlignment="1" applyProtection="1">
      <alignment horizontal="center"/>
      <protection locked="0"/>
    </xf>
    <xf numFmtId="4" fontId="9" fillId="2" borderId="30" xfId="0" applyNumberFormat="1" applyFont="1" applyFill="1" applyBorder="1" applyAlignment="1" applyProtection="1">
      <alignment horizontal="center"/>
      <protection locked="0"/>
    </xf>
    <xf numFmtId="4" fontId="9" fillId="2" borderId="27" xfId="0" applyNumberFormat="1" applyFont="1" applyFill="1" applyBorder="1" applyAlignment="1" applyProtection="1">
      <alignment horizontal="center"/>
      <protection locked="0"/>
    </xf>
    <xf numFmtId="0" fontId="28" fillId="0" borderId="44" xfId="0" applyFont="1" applyBorder="1" applyAlignment="1">
      <alignment horizontal="left" vertical="center"/>
    </xf>
    <xf numFmtId="0" fontId="28" fillId="0" borderId="145" xfId="0" applyFont="1" applyBorder="1" applyAlignment="1">
      <alignment horizontal="left" vertical="center"/>
    </xf>
    <xf numFmtId="0" fontId="28" fillId="0" borderId="128" xfId="0" applyFont="1" applyBorder="1" applyAlignment="1">
      <alignment horizontal="left" vertical="center"/>
    </xf>
    <xf numFmtId="0" fontId="28" fillId="0" borderId="106" xfId="0" applyFont="1" applyBorder="1" applyAlignment="1">
      <alignment horizontal="left" vertical="center"/>
    </xf>
    <xf numFmtId="0" fontId="28" fillId="0" borderId="112" xfId="0" applyFont="1" applyBorder="1" applyAlignment="1">
      <alignment horizontal="left" vertical="center"/>
    </xf>
    <xf numFmtId="0" fontId="28" fillId="0" borderId="169" xfId="0" applyFont="1" applyBorder="1" applyAlignment="1">
      <alignment horizontal="left" vertical="center"/>
    </xf>
    <xf numFmtId="0" fontId="0" fillId="0" borderId="5" xfId="0" applyBorder="1" applyAlignment="1">
      <alignment horizontal="left" vertical="center"/>
    </xf>
    <xf numFmtId="0" fontId="0" fillId="0" borderId="171" xfId="0" applyBorder="1" applyAlignment="1">
      <alignment horizontal="left" vertical="center"/>
    </xf>
    <xf numFmtId="0" fontId="0" fillId="0" borderId="124" xfId="0" applyBorder="1" applyAlignment="1">
      <alignment horizontal="left" vertical="center"/>
    </xf>
    <xf numFmtId="0" fontId="0" fillId="0" borderId="173" xfId="0" applyBorder="1" applyAlignment="1">
      <alignment horizontal="left" vertical="center"/>
    </xf>
    <xf numFmtId="0" fontId="0" fillId="0" borderId="121" xfId="0" applyBorder="1" applyAlignment="1">
      <alignment horizontal="left" vertical="center"/>
    </xf>
    <xf numFmtId="0" fontId="0" fillId="0" borderId="175" xfId="0" applyBorder="1" applyAlignment="1">
      <alignment horizontal="left" vertical="center"/>
    </xf>
    <xf numFmtId="0" fontId="0" fillId="0" borderId="7" xfId="0" applyBorder="1" applyAlignment="1">
      <alignment horizontal="left" vertical="center"/>
    </xf>
    <xf numFmtId="0" fontId="0" fillId="0" borderId="45" xfId="0" applyBorder="1" applyAlignment="1">
      <alignment vertical="center"/>
    </xf>
    <xf numFmtId="0" fontId="0" fillId="0" borderId="46" xfId="0" applyBorder="1" applyAlignment="1">
      <alignment vertical="center"/>
    </xf>
    <xf numFmtId="0" fontId="0" fillId="0" borderId="46" xfId="0" applyBorder="1" applyAlignment="1">
      <alignment horizontal="left" vertical="center"/>
    </xf>
    <xf numFmtId="0" fontId="0" fillId="0" borderId="39" xfId="0" applyBorder="1" applyAlignment="1">
      <alignment horizontal="left" vertical="center"/>
    </xf>
    <xf numFmtId="0" fontId="0" fillId="0" borderId="29" xfId="0" applyBorder="1" applyAlignment="1">
      <alignment vertical="center"/>
    </xf>
    <xf numFmtId="0" fontId="0" fillId="0" borderId="120" xfId="0" applyBorder="1" applyAlignment="1">
      <alignment horizontal="left" vertical="center"/>
    </xf>
    <xf numFmtId="0" fontId="0" fillId="0" borderId="35" xfId="0" applyBorder="1" applyAlignment="1">
      <alignment horizontal="left" vertical="center"/>
    </xf>
    <xf numFmtId="0" fontId="28" fillId="0" borderId="46" xfId="0" applyFont="1" applyBorder="1" applyAlignment="1">
      <alignment vertical="center"/>
    </xf>
    <xf numFmtId="0" fontId="28" fillId="0" borderId="59" xfId="0" applyFont="1" applyBorder="1" applyAlignment="1">
      <alignment vertical="center"/>
    </xf>
    <xf numFmtId="0" fontId="28" fillId="0" borderId="39" xfId="0" applyFont="1" applyBorder="1" applyAlignment="1">
      <alignment vertical="center"/>
    </xf>
    <xf numFmtId="0" fontId="0" fillId="0" borderId="39" xfId="0" applyBorder="1" applyAlignment="1">
      <alignment vertical="center"/>
    </xf>
    <xf numFmtId="0" fontId="0" fillId="0" borderId="59" xfId="0" applyBorder="1" applyAlignment="1">
      <alignment vertical="center"/>
    </xf>
    <xf numFmtId="0" fontId="3" fillId="0" borderId="0" xfId="0" applyFont="1" applyAlignment="1">
      <alignment horizontal="center" vertical="center"/>
    </xf>
    <xf numFmtId="0" fontId="21" fillId="0" borderId="52" xfId="0" quotePrefix="1" applyFont="1" applyBorder="1" applyAlignment="1">
      <alignment horizontal="left" wrapText="1"/>
    </xf>
    <xf numFmtId="0" fontId="21" fillId="0" borderId="107" xfId="0" quotePrefix="1" applyFont="1" applyBorder="1" applyAlignment="1">
      <alignment horizontal="left" wrapText="1"/>
    </xf>
    <xf numFmtId="0" fontId="0" fillId="0" borderId="130" xfId="0" applyBorder="1" applyAlignment="1">
      <alignment horizontal="left" vertical="center"/>
    </xf>
    <xf numFmtId="0" fontId="0" fillId="0" borderId="44" xfId="0" applyBorder="1" applyAlignment="1">
      <alignment horizontal="left" vertical="center"/>
    </xf>
    <xf numFmtId="0" fontId="0" fillId="0" borderId="78" xfId="0" applyBorder="1" applyAlignment="1">
      <alignment horizontal="left" vertical="center"/>
    </xf>
    <xf numFmtId="0" fontId="21" fillId="0" borderId="96" xfId="0" quotePrefix="1" applyFont="1" applyBorder="1" applyAlignment="1">
      <alignment horizontal="left" wrapText="1"/>
    </xf>
    <xf numFmtId="0" fontId="21" fillId="0" borderId="89" xfId="0" quotePrefix="1" applyFont="1" applyBorder="1" applyAlignment="1">
      <alignment horizontal="left" wrapText="1"/>
    </xf>
    <xf numFmtId="0" fontId="0" fillId="0" borderId="12" xfId="0" applyBorder="1" applyAlignment="1">
      <alignment horizontal="left" vertical="center"/>
    </xf>
    <xf numFmtId="0" fontId="0" fillId="0" borderId="82" xfId="0" applyBorder="1" applyAlignment="1">
      <alignment horizontal="left" vertical="center"/>
    </xf>
    <xf numFmtId="0" fontId="0" fillId="0" borderId="145" xfId="0" applyBorder="1" applyAlignment="1">
      <alignment horizontal="left" vertical="center"/>
    </xf>
    <xf numFmtId="0" fontId="0" fillId="0" borderId="49" xfId="0" applyBorder="1" applyAlignment="1">
      <alignment horizontal="left" vertical="center"/>
    </xf>
    <xf numFmtId="0" fontId="0" fillId="0" borderId="115" xfId="0" applyBorder="1" applyAlignment="1">
      <alignment horizontal="left" vertical="center"/>
    </xf>
    <xf numFmtId="0" fontId="3" fillId="6" borderId="158" xfId="0" applyFont="1" applyFill="1" applyBorder="1" applyAlignment="1">
      <alignment horizontal="center" vertical="center"/>
    </xf>
    <xf numFmtId="0" fontId="3" fillId="6" borderId="160" xfId="0" applyFont="1" applyFill="1" applyBorder="1" applyAlignment="1">
      <alignment horizontal="center" vertical="center"/>
    </xf>
    <xf numFmtId="0" fontId="3" fillId="6" borderId="103" xfId="0" applyFont="1" applyFill="1" applyBorder="1" applyAlignment="1">
      <alignment horizontal="center" vertical="center"/>
    </xf>
    <xf numFmtId="0" fontId="3" fillId="6" borderId="84" xfId="0" applyFont="1" applyFill="1" applyBorder="1" applyAlignment="1">
      <alignment horizontal="center" vertical="center"/>
    </xf>
    <xf numFmtId="0" fontId="0" fillId="0" borderId="29" xfId="0" applyBorder="1" applyAlignment="1">
      <alignment horizontal="left" vertical="center"/>
    </xf>
    <xf numFmtId="0" fontId="28" fillId="0" borderId="104" xfId="0" applyFont="1" applyBorder="1" applyAlignment="1">
      <alignment horizontal="left" vertical="center"/>
    </xf>
    <xf numFmtId="0" fontId="28" fillId="0" borderId="105" xfId="0" applyFont="1" applyBorder="1" applyAlignment="1">
      <alignment horizontal="left" vertical="center"/>
    </xf>
    <xf numFmtId="0" fontId="0" fillId="0" borderId="57" xfId="0" applyBorder="1" applyAlignment="1">
      <alignment horizontal="left" vertical="center"/>
    </xf>
    <xf numFmtId="0" fontId="0" fillId="0" borderId="59" xfId="0" applyBorder="1" applyAlignment="1">
      <alignment horizontal="left" vertical="center"/>
    </xf>
  </cellXfs>
  <cellStyles count="3">
    <cellStyle name="Excel Built-in Normal" xfId="2" xr:uid="{8A5A0697-2B21-480F-87A1-505602571967}"/>
    <cellStyle name="Normal" xfId="0" builtinId="0"/>
    <cellStyle name="Porcentaje" xfId="1" builtinId="5"/>
  </cellStyles>
  <dxfs count="0"/>
  <tableStyles count="0" defaultTableStyle="TableStyleMedium2" defaultPivotStyle="PivotStyleLight16"/>
  <colors>
    <mruColors>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59532</xdr:colOff>
      <xdr:row>14</xdr:row>
      <xdr:rowOff>95252</xdr:rowOff>
    </xdr:from>
    <xdr:to>
      <xdr:col>2</xdr:col>
      <xdr:colOff>66324</xdr:colOff>
      <xdr:row>37</xdr:row>
      <xdr:rowOff>2</xdr:rowOff>
    </xdr:to>
    <xdr:pic>
      <xdr:nvPicPr>
        <xdr:cNvPr id="2" name="Imagen 1">
          <a:extLst>
            <a:ext uri="{FF2B5EF4-FFF2-40B4-BE49-F238E27FC236}">
              <a16:creationId xmlns:a16="http://schemas.microsoft.com/office/drawing/2014/main" id="{129791F1-3552-432B-BE83-E2775201610F}"/>
            </a:ext>
          </a:extLst>
        </xdr:cNvPr>
        <xdr:cNvPicPr>
          <a:picLocks noChangeAspect="1"/>
        </xdr:cNvPicPr>
      </xdr:nvPicPr>
      <xdr:blipFill>
        <a:blip xmlns:r="http://schemas.openxmlformats.org/officeDocument/2006/relationships" r:embed="rId1"/>
        <a:stretch>
          <a:fillRect/>
        </a:stretch>
      </xdr:blipFill>
      <xdr:spPr>
        <a:xfrm>
          <a:off x="59532" y="9877427"/>
          <a:ext cx="4940742" cy="4286250"/>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63500</xdr:colOff>
      <xdr:row>286</xdr:row>
      <xdr:rowOff>44451</xdr:rowOff>
    </xdr:from>
    <xdr:to>
      <xdr:col>2</xdr:col>
      <xdr:colOff>1285648</xdr:colOff>
      <xdr:row>302</xdr:row>
      <xdr:rowOff>120650</xdr:rowOff>
    </xdr:to>
    <xdr:pic>
      <xdr:nvPicPr>
        <xdr:cNvPr id="2" name="Imagen 1">
          <a:extLst>
            <a:ext uri="{FF2B5EF4-FFF2-40B4-BE49-F238E27FC236}">
              <a16:creationId xmlns:a16="http://schemas.microsoft.com/office/drawing/2014/main" id="{F13BD357-44AB-F4D7-A802-C2CEC315641B}"/>
            </a:ext>
          </a:extLst>
        </xdr:cNvPr>
        <xdr:cNvPicPr>
          <a:picLocks noChangeAspect="1"/>
        </xdr:cNvPicPr>
      </xdr:nvPicPr>
      <xdr:blipFill>
        <a:blip xmlns:r="http://schemas.openxmlformats.org/officeDocument/2006/relationships" r:embed="rId1"/>
        <a:stretch>
          <a:fillRect/>
        </a:stretch>
      </xdr:blipFill>
      <xdr:spPr>
        <a:xfrm>
          <a:off x="63500" y="51949351"/>
          <a:ext cx="6786563" cy="3016250"/>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mentogobes-my.sharepoint.com/PROYECTO%20GU&#205;A/PRODUCTOS%20FCAS/00%20-%20Bases%20de%20partida_protegid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COOPERACI&#211;N\Herramientas%20t&#233;cnicas\Excel%20de%20dise&#241;o%20procesos\3%20-%20Versiones%20definitivas%20a%20revisar%20y%20revisiones\Revisi&#243;n%20Nacho%20pretratamientos\Copia%20de%20230301_Versi&#243;n%20completa%20procesos_IR-AT.xlsx" TargetMode="External"/><Relationship Id="rId1" Type="http://schemas.openxmlformats.org/officeDocument/2006/relationships/externalLinkPath" Target="file:///Y:\COOPERACI&#211;N\Herramientas%20t&#233;cnicas\Excel%20de%20dise&#241;o%20procesos\3%20-%20Versiones%20definitivas%20a%20revisar%20y%20revisiones\Revisi&#243;n%20Nacho%20pretratamientos\Copia%20de%20230301_Versi&#243;n%20completa%20procesos_IR-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 BP"/>
      <sheetName val="Hoja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 LÉEME"/>
      <sheetName val="0 - BP"/>
      <sheetName val="Hoja3"/>
      <sheetName val="2.0 - ALIV"/>
      <sheetName val="2.0 - PGm"/>
      <sheetName val="2.0 - DESBm"/>
      <sheetName val="Hoja1"/>
      <sheetName val="2.0 - DESBa"/>
      <sheetName val="2.0 - DESARm"/>
      <sheetName val="Hoja2"/>
      <sheetName val="2.0 - DD"/>
      <sheetName val="2.0 - TG"/>
      <sheetName val="2.0 - PARSH"/>
      <sheetName val="2.1 - RAFA"/>
      <sheetName val="2.2 - FP+DEC2e"/>
      <sheetName val="2.2 - FP+DEC2d"/>
      <sheetName val="2.2 - AE+DEC2e"/>
      <sheetName val="2.2 - AE+DEC2d"/>
      <sheetName val="2.4 - ESPGe"/>
      <sheetName val="2.4 - ESPGd"/>
      <sheetName val="2.4 - LSC"/>
      <sheetName val="2.4 - LSD"/>
      <sheetName val="PRECIOS OC (REF)"/>
      <sheetName val="PRECIOS EEM (REF)"/>
    </sheetNames>
    <sheetDataSet>
      <sheetData sheetId="0"/>
      <sheetData sheetId="1">
        <row r="24">
          <cell r="A24" t="str">
            <v>1- Tierra bajo nivel freático, llano</v>
          </cell>
        </row>
        <row r="25">
          <cell r="A25" t="str">
            <v>2- Tierra bajo nivel freático, pendiente suave</v>
          </cell>
        </row>
        <row r="26">
          <cell r="A26" t="str">
            <v>3- Tierra bajo nivel freático, pendiente fuerte</v>
          </cell>
        </row>
        <row r="27">
          <cell r="A27" t="str">
            <v>4- Roca bajo nivel freático, llano</v>
          </cell>
        </row>
        <row r="28">
          <cell r="A28" t="str">
            <v xml:space="preserve">5- Roca bajo nivel freático, pendiente suave </v>
          </cell>
        </row>
        <row r="29">
          <cell r="A29" t="str">
            <v xml:space="preserve">6- Roca bajo nivel freático, pendiente fuerte </v>
          </cell>
        </row>
        <row r="30">
          <cell r="A30" t="str">
            <v>7- Tierra alto nivel freático, llano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9325-AF66-4D05-B63B-D72ACA99E9CB}">
  <dimension ref="A1:B14"/>
  <sheetViews>
    <sheetView showGridLines="0" tabSelected="1" zoomScale="80" zoomScaleNormal="80" workbookViewId="0">
      <selection activeCell="H36" sqref="H36"/>
    </sheetView>
  </sheetViews>
  <sheetFormatPr baseColWidth="10" defaultColWidth="11.42578125" defaultRowHeight="15" x14ac:dyDescent="0.25"/>
  <cols>
    <col min="1" max="1" width="52.42578125" customWidth="1"/>
    <col min="2" max="2" width="21.5703125" customWidth="1"/>
    <col min="4" max="4" width="44.28515625" customWidth="1"/>
  </cols>
  <sheetData>
    <row r="1" spans="1:2" ht="18.75" x14ac:dyDescent="0.3">
      <c r="A1" s="1" t="s">
        <v>0</v>
      </c>
    </row>
    <row r="2" spans="1:2" x14ac:dyDescent="0.25">
      <c r="A2" s="2" t="s">
        <v>1</v>
      </c>
    </row>
    <row r="3" spans="1:2" x14ac:dyDescent="0.25">
      <c r="A3" s="353" t="s">
        <v>2</v>
      </c>
      <c r="B3" s="3" t="s">
        <v>3</v>
      </c>
    </row>
    <row r="4" spans="1:2" x14ac:dyDescent="0.25">
      <c r="A4" s="354" t="s">
        <v>4</v>
      </c>
      <c r="B4" s="4" t="s">
        <v>5</v>
      </c>
    </row>
    <row r="5" spans="1:2" x14ac:dyDescent="0.25">
      <c r="A5" s="355" t="s">
        <v>6</v>
      </c>
      <c r="B5" s="3" t="s">
        <v>7</v>
      </c>
    </row>
    <row r="6" spans="1:2" x14ac:dyDescent="0.25">
      <c r="A6" s="356" t="s">
        <v>8</v>
      </c>
      <c r="B6" s="4" t="s">
        <v>9</v>
      </c>
    </row>
    <row r="7" spans="1:2" x14ac:dyDescent="0.25">
      <c r="A7" s="357" t="s">
        <v>10</v>
      </c>
      <c r="B7" s="4" t="s">
        <v>11</v>
      </c>
    </row>
    <row r="8" spans="1:2" x14ac:dyDescent="0.25">
      <c r="A8" s="2" t="s">
        <v>12</v>
      </c>
    </row>
    <row r="9" spans="1:2" x14ac:dyDescent="0.25">
      <c r="A9" s="351"/>
      <c r="B9" t="s">
        <v>13</v>
      </c>
    </row>
    <row r="10" spans="1:2" x14ac:dyDescent="0.25">
      <c r="A10" s="352" t="s">
        <v>4</v>
      </c>
      <c r="B10" t="s">
        <v>14</v>
      </c>
    </row>
    <row r="11" spans="1:2" x14ac:dyDescent="0.25">
      <c r="A11" s="392" t="s">
        <v>6</v>
      </c>
      <c r="B11" t="s">
        <v>15</v>
      </c>
    </row>
    <row r="14" spans="1:2" ht="18.75" x14ac:dyDescent="0.3">
      <c r="A14" s="1" t="s">
        <v>567</v>
      </c>
    </row>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0D239-63D1-4CB6-89FC-F7EA42D560AB}">
  <dimension ref="A1:G64"/>
  <sheetViews>
    <sheetView showGridLines="0" zoomScaleNormal="100" workbookViewId="0">
      <selection activeCell="H27" sqref="H27"/>
    </sheetView>
  </sheetViews>
  <sheetFormatPr baseColWidth="10" defaultColWidth="11.42578125" defaultRowHeight="15" x14ac:dyDescent="0.25"/>
  <cols>
    <col min="1" max="1" width="48.140625" customWidth="1"/>
    <col min="2" max="2" width="41.140625" customWidth="1"/>
    <col min="4" max="4" width="37.7109375" customWidth="1"/>
    <col min="5" max="5" width="20.140625" customWidth="1"/>
  </cols>
  <sheetData>
    <row r="1" spans="1:7" ht="16.5" thickBot="1" x14ac:dyDescent="0.3">
      <c r="A1" s="28" t="s">
        <v>16</v>
      </c>
      <c r="B1" s="67" t="s">
        <v>17</v>
      </c>
      <c r="C1" s="67" t="s">
        <v>18</v>
      </c>
      <c r="D1" s="8" t="s">
        <v>19</v>
      </c>
      <c r="E1" s="74" t="s">
        <v>20</v>
      </c>
    </row>
    <row r="2" spans="1:7" x14ac:dyDescent="0.25">
      <c r="A2" s="130" t="s">
        <v>21</v>
      </c>
      <c r="B2" s="131">
        <v>5000</v>
      </c>
      <c r="C2" s="132" t="s">
        <v>22</v>
      </c>
      <c r="D2" s="129"/>
      <c r="E2" s="115"/>
    </row>
    <row r="3" spans="1:7" x14ac:dyDescent="0.25">
      <c r="A3" s="81" t="s">
        <v>23</v>
      </c>
      <c r="B3" s="502">
        <v>19</v>
      </c>
      <c r="C3" s="16" t="s">
        <v>24</v>
      </c>
      <c r="D3" s="199"/>
      <c r="E3" s="99"/>
    </row>
    <row r="4" spans="1:7" x14ac:dyDescent="0.25">
      <c r="A4" s="81" t="s">
        <v>25</v>
      </c>
      <c r="B4" s="502">
        <v>28</v>
      </c>
      <c r="C4" s="13" t="s">
        <v>24</v>
      </c>
      <c r="D4" s="199"/>
      <c r="E4" s="99"/>
      <c r="F4" s="342"/>
      <c r="G4" s="17"/>
    </row>
    <row r="5" spans="1:7" ht="15.75" thickBot="1" x14ac:dyDescent="0.3">
      <c r="A5" s="81" t="s">
        <v>26</v>
      </c>
      <c r="B5" s="12">
        <v>0</v>
      </c>
      <c r="C5" s="13" t="s">
        <v>27</v>
      </c>
      <c r="E5" s="99"/>
      <c r="G5" s="17"/>
    </row>
    <row r="6" spans="1:7" ht="16.5" thickBot="1" x14ac:dyDescent="0.3">
      <c r="A6" s="28" t="s">
        <v>28</v>
      </c>
      <c r="B6" s="503" t="s">
        <v>17</v>
      </c>
      <c r="C6" s="29" t="s">
        <v>18</v>
      </c>
      <c r="D6" s="8" t="s">
        <v>19</v>
      </c>
      <c r="E6" s="9" t="s">
        <v>20</v>
      </c>
    </row>
    <row r="7" spans="1:7" ht="17.25" x14ac:dyDescent="0.25">
      <c r="A7" s="30" t="s">
        <v>29</v>
      </c>
      <c r="B7" s="504">
        <v>11.000000000000002</v>
      </c>
      <c r="C7" s="13" t="s">
        <v>30</v>
      </c>
      <c r="D7" s="198"/>
      <c r="E7" s="14"/>
    </row>
    <row r="8" spans="1:7" ht="17.25" x14ac:dyDescent="0.25">
      <c r="A8" s="30" t="s">
        <v>31</v>
      </c>
      <c r="B8" s="505">
        <v>880.00000000000011</v>
      </c>
      <c r="C8" s="13" t="s">
        <v>32</v>
      </c>
      <c r="D8" s="198"/>
      <c r="E8" s="14"/>
    </row>
    <row r="9" spans="1:7" ht="17.25" x14ac:dyDescent="0.25">
      <c r="A9" s="30" t="s">
        <v>33</v>
      </c>
      <c r="B9" s="505">
        <v>118.98349438334316</v>
      </c>
      <c r="C9" s="13" t="s">
        <v>30</v>
      </c>
      <c r="D9" s="198" t="s">
        <v>34</v>
      </c>
      <c r="E9" s="14"/>
    </row>
    <row r="10" spans="1:7" ht="18" thickBot="1" x14ac:dyDescent="0.3">
      <c r="A10" s="30" t="s">
        <v>35</v>
      </c>
      <c r="B10" s="506">
        <v>237.96698876668631</v>
      </c>
      <c r="C10" s="13" t="s">
        <v>30</v>
      </c>
      <c r="D10" s="198" t="s">
        <v>36</v>
      </c>
      <c r="E10" s="14"/>
    </row>
    <row r="11" spans="1:7" ht="16.5" thickBot="1" x14ac:dyDescent="0.3">
      <c r="A11" s="6" t="s">
        <v>37</v>
      </c>
      <c r="B11" s="507" t="s">
        <v>17</v>
      </c>
      <c r="C11" s="7" t="s">
        <v>18</v>
      </c>
      <c r="D11" s="8" t="s">
        <v>19</v>
      </c>
      <c r="E11" s="9" t="s">
        <v>20</v>
      </c>
    </row>
    <row r="12" spans="1:7" ht="18" x14ac:dyDescent="0.35">
      <c r="A12" s="207" t="s">
        <v>38</v>
      </c>
      <c r="B12" s="505">
        <v>297.08848069345572</v>
      </c>
      <c r="C12" s="13" t="s">
        <v>39</v>
      </c>
      <c r="E12" s="14"/>
    </row>
    <row r="13" spans="1:7" x14ac:dyDescent="0.25">
      <c r="A13" s="207" t="s">
        <v>40</v>
      </c>
      <c r="B13" s="505">
        <v>505.05041717887468</v>
      </c>
      <c r="C13" s="13" t="s">
        <v>39</v>
      </c>
      <c r="E13" s="14"/>
    </row>
    <row r="14" spans="1:7" x14ac:dyDescent="0.25">
      <c r="A14" s="207" t="s">
        <v>41</v>
      </c>
      <c r="B14" s="505">
        <v>297.08848069345572</v>
      </c>
      <c r="C14" s="13" t="s">
        <v>39</v>
      </c>
      <c r="E14" s="14"/>
    </row>
    <row r="15" spans="1:7" x14ac:dyDescent="0.25">
      <c r="A15" s="207" t="s">
        <v>42</v>
      </c>
      <c r="B15" s="505">
        <v>59.417696138691142</v>
      </c>
      <c r="C15" s="13" t="s">
        <v>39</v>
      </c>
      <c r="E15" s="14"/>
    </row>
    <row r="16" spans="1:7" x14ac:dyDescent="0.25">
      <c r="A16" s="207" t="s">
        <v>43</v>
      </c>
      <c r="B16" s="505">
        <v>4</v>
      </c>
      <c r="C16" s="13" t="s">
        <v>39</v>
      </c>
      <c r="E16" s="14"/>
    </row>
    <row r="17" spans="1:5" x14ac:dyDescent="0.25">
      <c r="A17" s="208" t="s">
        <v>44</v>
      </c>
      <c r="B17" s="508">
        <v>10000000</v>
      </c>
      <c r="C17" s="19" t="s">
        <v>45</v>
      </c>
      <c r="D17" s="20"/>
      <c r="E17" s="21"/>
    </row>
    <row r="18" spans="1:5" ht="15.75" x14ac:dyDescent="0.25">
      <c r="A18" s="6" t="s">
        <v>46</v>
      </c>
      <c r="B18" s="507" t="s">
        <v>17</v>
      </c>
      <c r="C18" s="7" t="s">
        <v>18</v>
      </c>
      <c r="D18" s="8" t="s">
        <v>19</v>
      </c>
      <c r="E18" s="9" t="s">
        <v>20</v>
      </c>
    </row>
    <row r="19" spans="1:5" ht="18" x14ac:dyDescent="0.35">
      <c r="A19" s="207" t="s">
        <v>38</v>
      </c>
      <c r="B19" s="505">
        <v>25</v>
      </c>
      <c r="C19" s="13" t="s">
        <v>39</v>
      </c>
      <c r="E19" s="14"/>
    </row>
    <row r="20" spans="1:5" x14ac:dyDescent="0.25">
      <c r="A20" s="207" t="s">
        <v>40</v>
      </c>
      <c r="B20" s="505">
        <v>100</v>
      </c>
      <c r="C20" s="13" t="s">
        <v>39</v>
      </c>
      <c r="E20" s="14"/>
    </row>
    <row r="21" spans="1:5" x14ac:dyDescent="0.25">
      <c r="A21" s="207" t="s">
        <v>41</v>
      </c>
      <c r="B21" s="505">
        <v>25</v>
      </c>
      <c r="C21" s="13" t="s">
        <v>39</v>
      </c>
      <c r="E21" s="14"/>
    </row>
    <row r="22" spans="1:5" x14ac:dyDescent="0.25">
      <c r="A22" s="207" t="s">
        <v>42</v>
      </c>
      <c r="B22" s="505">
        <v>15</v>
      </c>
      <c r="C22" s="13" t="s">
        <v>39</v>
      </c>
      <c r="E22" s="14"/>
    </row>
    <row r="23" spans="1:5" x14ac:dyDescent="0.25">
      <c r="A23" s="207" t="s">
        <v>43</v>
      </c>
      <c r="B23" s="505">
        <v>8</v>
      </c>
      <c r="C23" s="13" t="s">
        <v>39</v>
      </c>
      <c r="E23" s="14"/>
    </row>
    <row r="24" spans="1:5" ht="15.75" thickBot="1" x14ac:dyDescent="0.3">
      <c r="A24" s="208" t="s">
        <v>44</v>
      </c>
      <c r="B24" s="508">
        <v>10000</v>
      </c>
      <c r="C24" s="19" t="s">
        <v>45</v>
      </c>
      <c r="D24" s="20"/>
      <c r="E24" s="21"/>
    </row>
    <row r="25" spans="1:5" ht="16.5" thickBot="1" x14ac:dyDescent="0.3">
      <c r="A25" s="345" t="s">
        <v>47</v>
      </c>
      <c r="B25" s="509" t="s">
        <v>17</v>
      </c>
      <c r="C25" s="385" t="s">
        <v>18</v>
      </c>
      <c r="D25" s="8" t="s">
        <v>19</v>
      </c>
      <c r="E25" s="386" t="s">
        <v>20</v>
      </c>
    </row>
    <row r="26" spans="1:5" x14ac:dyDescent="0.25">
      <c r="A26" s="11" t="s">
        <v>48</v>
      </c>
      <c r="B26" s="456">
        <v>2</v>
      </c>
      <c r="C26" s="118" t="s">
        <v>49</v>
      </c>
      <c r="D26" s="457"/>
      <c r="E26" s="26"/>
    </row>
    <row r="27" spans="1:5" x14ac:dyDescent="0.25">
      <c r="A27" s="375" t="s">
        <v>50</v>
      </c>
      <c r="B27" s="461" t="s">
        <v>569</v>
      </c>
      <c r="C27" s="48"/>
      <c r="D27" s="48"/>
      <c r="E27" s="14"/>
    </row>
    <row r="28" spans="1:5" x14ac:dyDescent="0.25">
      <c r="A28" s="11" t="s">
        <v>51</v>
      </c>
      <c r="B28" s="69">
        <f>IF(OR(B27=$A$58,B27=$A$59,B27=$A$60,B27=$A$64),1,2)</f>
        <v>1</v>
      </c>
      <c r="C28" s="48"/>
      <c r="D28" s="25" t="s">
        <v>52</v>
      </c>
      <c r="E28" s="26"/>
    </row>
    <row r="29" spans="1:5" x14ac:dyDescent="0.25">
      <c r="A29" s="11" t="s">
        <v>53</v>
      </c>
      <c r="B29" s="69" cm="1">
        <f t="array" ref="B29">_xlfn.IFS(B27=$A$58,1,B27=$A$61,1,B27=$A$64,1,B27=$A$59,2,B27=$A$62,2,B27=$A$60,3,B27=$A$63,3)</f>
        <v>1</v>
      </c>
      <c r="C29" s="48"/>
      <c r="D29" s="13" t="s">
        <v>54</v>
      </c>
      <c r="E29" s="26"/>
    </row>
    <row r="30" spans="1:5" ht="15.75" thickBot="1" x14ac:dyDescent="0.3">
      <c r="A30" s="18" t="s">
        <v>55</v>
      </c>
      <c r="B30" s="462">
        <f>IF(B27=$A$64,2,1)</f>
        <v>1</v>
      </c>
      <c r="C30" s="53"/>
      <c r="D30" s="19" t="s">
        <v>56</v>
      </c>
      <c r="E30" s="27"/>
    </row>
    <row r="31" spans="1:5" hidden="1" x14ac:dyDescent="0.25">
      <c r="A31" s="17" t="s">
        <v>57</v>
      </c>
    </row>
    <row r="32" spans="1:5" hidden="1" x14ac:dyDescent="0.25">
      <c r="A32" s="17" t="s">
        <v>58</v>
      </c>
    </row>
    <row r="33" spans="1:1" hidden="1" x14ac:dyDescent="0.25">
      <c r="A33" s="17" t="s">
        <v>59</v>
      </c>
    </row>
    <row r="34" spans="1:1" hidden="1" x14ac:dyDescent="0.25">
      <c r="A34" s="17" t="s">
        <v>60</v>
      </c>
    </row>
    <row r="35" spans="1:1" hidden="1" x14ac:dyDescent="0.25">
      <c r="A35" s="17" t="s">
        <v>61</v>
      </c>
    </row>
    <row r="36" spans="1:1" hidden="1" x14ac:dyDescent="0.25">
      <c r="A36" s="17" t="s">
        <v>62</v>
      </c>
    </row>
    <row r="57" spans="1:1" hidden="1" x14ac:dyDescent="0.25">
      <c r="A57" s="2" t="s">
        <v>568</v>
      </c>
    </row>
    <row r="58" spans="1:1" hidden="1" x14ac:dyDescent="0.25">
      <c r="A58" s="17" t="s">
        <v>569</v>
      </c>
    </row>
    <row r="59" spans="1:1" hidden="1" x14ac:dyDescent="0.25">
      <c r="A59" s="17" t="s">
        <v>570</v>
      </c>
    </row>
    <row r="60" spans="1:1" hidden="1" x14ac:dyDescent="0.25">
      <c r="A60" s="17" t="s">
        <v>571</v>
      </c>
    </row>
    <row r="61" spans="1:1" hidden="1" x14ac:dyDescent="0.25">
      <c r="A61" s="17" t="s">
        <v>572</v>
      </c>
    </row>
    <row r="62" spans="1:1" hidden="1" x14ac:dyDescent="0.25">
      <c r="A62" s="17" t="s">
        <v>573</v>
      </c>
    </row>
    <row r="63" spans="1:1" hidden="1" x14ac:dyDescent="0.25">
      <c r="A63" s="17" t="s">
        <v>574</v>
      </c>
    </row>
    <row r="64" spans="1:1" hidden="1" x14ac:dyDescent="0.25">
      <c r="A64" s="17" t="s">
        <v>575</v>
      </c>
    </row>
  </sheetData>
  <sheetProtection sheet="1" objects="1" scenarios="1"/>
  <dataValidations count="1">
    <dataValidation type="list" allowBlank="1" showInputMessage="1" showErrorMessage="1" sqref="B27" xr:uid="{4F185A7E-2C5C-4FC5-A6BD-5E040BA3944B}">
      <formula1>$A$58:$A$64</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09E1E-D1CC-471E-937B-CCEE46A056AE}">
  <dimension ref="A1:T400"/>
  <sheetViews>
    <sheetView showGridLines="0" zoomScale="90" zoomScaleNormal="90" workbookViewId="0">
      <selection activeCell="B361" sqref="B361:B362"/>
    </sheetView>
  </sheetViews>
  <sheetFormatPr baseColWidth="10" defaultColWidth="11.42578125" defaultRowHeight="15" x14ac:dyDescent="0.25"/>
  <cols>
    <col min="1" max="1" width="59.140625" customWidth="1"/>
    <col min="2" max="2" width="20.5703125" customWidth="1"/>
    <col min="3" max="3" width="28" customWidth="1"/>
    <col min="4" max="4" width="64.7109375" customWidth="1"/>
    <col min="5" max="5" width="54.7109375" customWidth="1"/>
    <col min="6" max="6" width="10" customWidth="1"/>
    <col min="7" max="7" width="14" style="59" customWidth="1"/>
    <col min="8" max="9" width="25.28515625" style="59" customWidth="1"/>
    <col min="10" max="10" width="11.42578125" style="59"/>
  </cols>
  <sheetData>
    <row r="1" spans="1:11" ht="16.5" thickBot="1" x14ac:dyDescent="0.3">
      <c r="A1" s="41" t="s">
        <v>94</v>
      </c>
      <c r="B1" s="67" t="s">
        <v>17</v>
      </c>
      <c r="C1" s="488" t="s">
        <v>18</v>
      </c>
      <c r="D1" s="35"/>
      <c r="E1" s="35"/>
      <c r="F1" s="35"/>
    </row>
    <row r="2" spans="1:11" ht="17.25" x14ac:dyDescent="0.25">
      <c r="A2" s="34" t="s">
        <v>31</v>
      </c>
      <c r="B2" s="476">
        <f>'0 - BASESP'!B8</f>
        <v>880.00000000000011</v>
      </c>
      <c r="C2" s="489" t="s">
        <v>32</v>
      </c>
    </row>
    <row r="3" spans="1:11" ht="17.25" x14ac:dyDescent="0.25">
      <c r="A3" s="11"/>
      <c r="B3" s="341">
        <f>B2/24</f>
        <v>36.666666666666671</v>
      </c>
      <c r="C3" s="490" t="s">
        <v>30</v>
      </c>
    </row>
    <row r="4" spans="1:11" ht="17.25" x14ac:dyDescent="0.25">
      <c r="A4" s="11" t="s">
        <v>33</v>
      </c>
      <c r="B4" s="464">
        <f>'0 - BASESP'!B9</f>
        <v>118.98349438334316</v>
      </c>
      <c r="C4" s="26" t="s">
        <v>30</v>
      </c>
    </row>
    <row r="5" spans="1:11" ht="18" x14ac:dyDescent="0.35">
      <c r="A5" s="221" t="s">
        <v>192</v>
      </c>
      <c r="B5" s="473">
        <f>'0 - BASESP'!B12</f>
        <v>297.08848069345572</v>
      </c>
      <c r="C5" s="491" t="s">
        <v>39</v>
      </c>
    </row>
    <row r="6" spans="1:11" ht="18" x14ac:dyDescent="0.35">
      <c r="A6" s="11" t="s">
        <v>193</v>
      </c>
      <c r="B6" s="15">
        <f>B5*B2/1000</f>
        <v>261.43786301024107</v>
      </c>
      <c r="C6" s="26" t="s">
        <v>120</v>
      </c>
    </row>
    <row r="7" spans="1:11" ht="18" x14ac:dyDescent="0.35">
      <c r="A7" s="11" t="s">
        <v>194</v>
      </c>
      <c r="B7" s="466">
        <f>'0 - BASESP'!B13</f>
        <v>505.05041717887468</v>
      </c>
      <c r="C7" s="26" t="s">
        <v>39</v>
      </c>
    </row>
    <row r="8" spans="1:11" ht="18" x14ac:dyDescent="0.35">
      <c r="A8" s="11" t="s">
        <v>195</v>
      </c>
      <c r="B8" s="466">
        <f>'0 - BASESP'!B14</f>
        <v>297.08848069345572</v>
      </c>
      <c r="C8" s="26" t="s">
        <v>39</v>
      </c>
    </row>
    <row r="9" spans="1:11" ht="18" x14ac:dyDescent="0.35">
      <c r="A9" s="11" t="s">
        <v>196</v>
      </c>
      <c r="B9" s="466">
        <f>'0 - BASESP'!B15</f>
        <v>59.417696138691142</v>
      </c>
      <c r="C9" s="26" t="s">
        <v>39</v>
      </c>
      <c r="G9" s="179"/>
      <c r="H9" s="438"/>
      <c r="I9" s="179"/>
      <c r="J9" s="438"/>
      <c r="K9" s="263"/>
    </row>
    <row r="10" spans="1:11" ht="18" x14ac:dyDescent="0.35">
      <c r="A10" s="11" t="s">
        <v>197</v>
      </c>
      <c r="B10" s="466">
        <f>'0 - BASESP'!B16</f>
        <v>4</v>
      </c>
      <c r="C10" s="26" t="s">
        <v>39</v>
      </c>
      <c r="H10" s="439"/>
      <c r="I10" s="439"/>
      <c r="J10" s="439"/>
    </row>
    <row r="11" spans="1:11" ht="18" x14ac:dyDescent="0.35">
      <c r="A11" s="11" t="s">
        <v>198</v>
      </c>
      <c r="B11" s="474">
        <f>'0 - BASESP'!B17</f>
        <v>10000000</v>
      </c>
      <c r="C11" s="26" t="s">
        <v>199</v>
      </c>
      <c r="G11" s="439"/>
      <c r="H11" s="439"/>
      <c r="I11" s="439"/>
      <c r="J11" s="439"/>
    </row>
    <row r="12" spans="1:11" x14ac:dyDescent="0.25">
      <c r="A12" s="221" t="s">
        <v>23</v>
      </c>
      <c r="B12" s="475">
        <f>'0 - BASESP'!B3</f>
        <v>19</v>
      </c>
      <c r="C12" s="491" t="s">
        <v>200</v>
      </c>
      <c r="H12" s="439"/>
      <c r="I12" s="439"/>
    </row>
    <row r="13" spans="1:11" x14ac:dyDescent="0.25">
      <c r="A13" s="11" t="s">
        <v>25</v>
      </c>
      <c r="B13" s="466">
        <f>'0 - BASESP'!B4</f>
        <v>28</v>
      </c>
      <c r="C13" s="26" t="s">
        <v>200</v>
      </c>
      <c r="H13" s="439"/>
      <c r="I13" s="439"/>
    </row>
    <row r="14" spans="1:11" ht="15.75" thickBot="1" x14ac:dyDescent="0.3">
      <c r="A14" s="18" t="s">
        <v>26</v>
      </c>
      <c r="B14" s="477">
        <f>'0 - BASESP'!B5</f>
        <v>0</v>
      </c>
      <c r="C14" s="27" t="s">
        <v>201</v>
      </c>
    </row>
    <row r="15" spans="1:11" ht="16.5" thickBot="1" x14ac:dyDescent="0.3">
      <c r="A15" s="492" t="s">
        <v>156</v>
      </c>
      <c r="B15" s="231" t="s">
        <v>17</v>
      </c>
      <c r="C15" s="493" t="s">
        <v>18</v>
      </c>
      <c r="D15" s="35"/>
      <c r="E15" s="35"/>
    </row>
    <row r="16" spans="1:11" ht="15.75" thickBot="1" x14ac:dyDescent="0.3">
      <c r="A16" s="494" t="s">
        <v>202</v>
      </c>
      <c r="B16" s="259" t="s">
        <v>63</v>
      </c>
      <c r="C16" s="495"/>
    </row>
    <row r="17" spans="1:10" ht="16.5" thickBot="1" x14ac:dyDescent="0.3">
      <c r="A17" s="22" t="s">
        <v>158</v>
      </c>
      <c r="B17" s="23" t="s">
        <v>17</v>
      </c>
      <c r="C17" s="496" t="s">
        <v>18</v>
      </c>
      <c r="D17" s="35"/>
      <c r="E17" s="35"/>
    </row>
    <row r="18" spans="1:10" ht="18" customHeight="1" x14ac:dyDescent="0.25">
      <c r="A18" s="559" t="s">
        <v>159</v>
      </c>
      <c r="B18" s="478">
        <f>'0 - BASESP'!B19</f>
        <v>25</v>
      </c>
      <c r="C18" s="497" t="s">
        <v>204</v>
      </c>
    </row>
    <row r="19" spans="1:10" x14ac:dyDescent="0.25">
      <c r="A19" s="560"/>
      <c r="B19" s="261">
        <f>IF(B18="",0%,1-(B18/B5))</f>
        <v>0.91584998535909001</v>
      </c>
      <c r="C19" s="14" t="s">
        <v>160</v>
      </c>
      <c r="I19" s="439"/>
    </row>
    <row r="20" spans="1:10" x14ac:dyDescent="0.25">
      <c r="A20" s="560"/>
      <c r="B20" s="42">
        <f>B19*B6</f>
        <v>239.43786301024107</v>
      </c>
      <c r="C20" s="14" t="s">
        <v>161</v>
      </c>
      <c r="F20" s="31"/>
    </row>
    <row r="21" spans="1:10" x14ac:dyDescent="0.25">
      <c r="A21" s="561" t="s">
        <v>162</v>
      </c>
      <c r="B21" s="473">
        <f>'0 - BASESP'!B20</f>
        <v>100</v>
      </c>
      <c r="C21" s="209" t="s">
        <v>204</v>
      </c>
    </row>
    <row r="22" spans="1:10" x14ac:dyDescent="0.25">
      <c r="A22" s="560"/>
      <c r="B22" s="261">
        <f>IF(B21="",0%,1-(B21/B7))</f>
        <v>0.8019999655508</v>
      </c>
      <c r="C22" s="14" t="s">
        <v>160</v>
      </c>
    </row>
    <row r="23" spans="1:10" x14ac:dyDescent="0.25">
      <c r="A23" s="562"/>
      <c r="B23" s="210">
        <f>B22*(B7*B2/1000)</f>
        <v>356.44436711740974</v>
      </c>
      <c r="C23" s="498" t="s">
        <v>161</v>
      </c>
    </row>
    <row r="24" spans="1:10" x14ac:dyDescent="0.25">
      <c r="A24" s="560" t="s">
        <v>163</v>
      </c>
      <c r="B24" s="466">
        <f>'0 - BASESP'!B21</f>
        <v>25</v>
      </c>
      <c r="C24" s="14" t="s">
        <v>204</v>
      </c>
    </row>
    <row r="25" spans="1:10" x14ac:dyDescent="0.25">
      <c r="A25" s="560"/>
      <c r="B25" s="261">
        <f>IF(B24="",0%,1-(B24/B8))</f>
        <v>0.91584998535909001</v>
      </c>
      <c r="C25" s="14" t="s">
        <v>160</v>
      </c>
      <c r="F25" s="149"/>
    </row>
    <row r="26" spans="1:10" x14ac:dyDescent="0.25">
      <c r="A26" s="560"/>
      <c r="B26" s="15">
        <f>B25*(B8*B3/1000)</f>
        <v>9.976577625426712</v>
      </c>
      <c r="C26" s="14" t="s">
        <v>161</v>
      </c>
    </row>
    <row r="27" spans="1:10" x14ac:dyDescent="0.25">
      <c r="A27" s="563" t="s">
        <v>203</v>
      </c>
      <c r="B27" s="479">
        <f>'0 - BASESP'!B22</f>
        <v>15</v>
      </c>
      <c r="C27" s="499" t="s">
        <v>204</v>
      </c>
    </row>
    <row r="28" spans="1:10" x14ac:dyDescent="0.25">
      <c r="A28" s="564"/>
      <c r="B28" s="500">
        <f>IF(B27="",0%,1-B27/B9)</f>
        <v>0.74754995607727004</v>
      </c>
      <c r="C28" s="490" t="s">
        <v>160</v>
      </c>
    </row>
    <row r="29" spans="1:10" x14ac:dyDescent="0.25">
      <c r="A29" s="565"/>
      <c r="B29" s="258">
        <f>B28*(B9*B4/1000)</f>
        <v>5.2849726990389998</v>
      </c>
      <c r="C29" s="501" t="s">
        <v>161</v>
      </c>
    </row>
    <row r="30" spans="1:10" x14ac:dyDescent="0.25">
      <c r="A30" s="561" t="s">
        <v>205</v>
      </c>
      <c r="B30" s="466">
        <f>'0 - BASESP'!B23</f>
        <v>8</v>
      </c>
      <c r="C30" s="14" t="s">
        <v>204</v>
      </c>
    </row>
    <row r="31" spans="1:10" x14ac:dyDescent="0.25">
      <c r="A31" s="560"/>
      <c r="B31" s="261">
        <f>IF(B30="",0%,1-B30/B10)</f>
        <v>-1</v>
      </c>
      <c r="C31" s="14" t="s">
        <v>160</v>
      </c>
      <c r="H31" s="448"/>
      <c r="I31" s="448"/>
    </row>
    <row r="32" spans="1:10" ht="15.75" customHeight="1" thickBot="1" x14ac:dyDescent="0.3">
      <c r="A32" s="566"/>
      <c r="B32" s="47">
        <f>B31*(B10*B5/1000)</f>
        <v>-1.1883539227738229</v>
      </c>
      <c r="C32" s="21" t="s">
        <v>161</v>
      </c>
      <c r="G32" s="579"/>
      <c r="H32" s="481"/>
      <c r="I32" s="481"/>
      <c r="J32" s="579"/>
    </row>
    <row r="33" spans="1:10" ht="15.75" customHeight="1" thickBot="1" x14ac:dyDescent="0.3">
      <c r="A33" s="238"/>
      <c r="B33" s="33"/>
      <c r="G33" s="579"/>
      <c r="H33" s="481"/>
      <c r="I33" s="481"/>
      <c r="J33" s="579"/>
    </row>
    <row r="34" spans="1:10" ht="16.5" thickBot="1" x14ac:dyDescent="0.3">
      <c r="A34" s="437" t="s">
        <v>211</v>
      </c>
      <c r="B34" s="33"/>
      <c r="H34" s="482"/>
      <c r="I34" s="483"/>
      <c r="J34" s="482"/>
    </row>
    <row r="35" spans="1:10" ht="16.5" thickBot="1" x14ac:dyDescent="0.3">
      <c r="A35" s="318" t="s">
        <v>212</v>
      </c>
      <c r="B35" s="239" t="s">
        <v>17</v>
      </c>
      <c r="C35" s="159" t="s">
        <v>18</v>
      </c>
      <c r="D35" s="190" t="s">
        <v>114</v>
      </c>
      <c r="E35" s="145" t="s">
        <v>20</v>
      </c>
      <c r="H35" s="483"/>
      <c r="I35" s="483"/>
      <c r="J35" s="482"/>
    </row>
    <row r="36" spans="1:10" x14ac:dyDescent="0.25">
      <c r="A36" s="369" t="s">
        <v>605</v>
      </c>
      <c r="B36" s="436">
        <f>ROUNDUP(IF(B12&lt;13,25,(IF(B12&gt;18,16,25*1.072^(12-B12)))),1)</f>
        <v>16</v>
      </c>
      <c r="C36" s="46" t="s">
        <v>213</v>
      </c>
      <c r="D36" s="458" t="s">
        <v>214</v>
      </c>
      <c r="E36" s="83"/>
      <c r="H36" s="483"/>
      <c r="I36" s="483"/>
      <c r="J36" s="482"/>
    </row>
    <row r="37" spans="1:10" x14ac:dyDescent="0.25">
      <c r="A37" s="81" t="s">
        <v>215</v>
      </c>
      <c r="B37" s="510">
        <v>0.25</v>
      </c>
      <c r="D37" s="203" t="s">
        <v>216</v>
      </c>
      <c r="E37" s="83"/>
      <c r="H37" s="483"/>
      <c r="I37" s="483"/>
      <c r="J37" s="482"/>
    </row>
    <row r="38" spans="1:10" x14ac:dyDescent="0.25">
      <c r="A38" s="81" t="s">
        <v>217</v>
      </c>
      <c r="B38" s="510">
        <v>0.15</v>
      </c>
      <c r="D38" s="459" t="s">
        <v>218</v>
      </c>
      <c r="E38" s="418"/>
      <c r="H38" s="483"/>
      <c r="I38" s="483"/>
      <c r="J38" s="482"/>
    </row>
    <row r="39" spans="1:10" ht="15.75" thickBot="1" x14ac:dyDescent="0.3">
      <c r="A39" s="112" t="s">
        <v>219</v>
      </c>
      <c r="B39" s="511">
        <v>2</v>
      </c>
      <c r="C39" s="97" t="s">
        <v>131</v>
      </c>
      <c r="D39" s="205" t="s">
        <v>220</v>
      </c>
      <c r="E39" s="88"/>
      <c r="H39" s="483"/>
      <c r="I39" s="483"/>
      <c r="J39" s="482"/>
    </row>
    <row r="40" spans="1:10" ht="16.5" thickBot="1" x14ac:dyDescent="0.3">
      <c r="A40" s="123" t="s">
        <v>64</v>
      </c>
      <c r="B40" s="23" t="s">
        <v>17</v>
      </c>
      <c r="C40" s="23" t="s">
        <v>18</v>
      </c>
      <c r="D40" s="242" t="s">
        <v>114</v>
      </c>
      <c r="E40" s="243" t="s">
        <v>20</v>
      </c>
      <c r="H40" s="483"/>
      <c r="I40" s="483"/>
      <c r="J40" s="482"/>
    </row>
    <row r="41" spans="1:10" x14ac:dyDescent="0.25">
      <c r="A41" s="126" t="s">
        <v>221</v>
      </c>
      <c r="B41" s="512">
        <f>4000</f>
        <v>4000</v>
      </c>
      <c r="C41" s="129" t="s">
        <v>222</v>
      </c>
      <c r="D41" s="420" t="s">
        <v>223</v>
      </c>
      <c r="E41" s="419"/>
      <c r="H41" s="483"/>
      <c r="I41" s="483"/>
      <c r="J41" s="482"/>
    </row>
    <row r="42" spans="1:10" x14ac:dyDescent="0.25">
      <c r="A42" s="81" t="s">
        <v>123</v>
      </c>
      <c r="B42" s="513">
        <v>5</v>
      </c>
      <c r="C42" t="s">
        <v>49</v>
      </c>
      <c r="D42" s="203" t="s">
        <v>224</v>
      </c>
      <c r="E42" s="83"/>
      <c r="F42" s="149"/>
      <c r="H42" s="483"/>
      <c r="I42" s="483"/>
      <c r="J42" s="482"/>
    </row>
    <row r="43" spans="1:10" ht="15.75" thickBot="1" x14ac:dyDescent="0.3">
      <c r="A43" s="112" t="s">
        <v>96</v>
      </c>
      <c r="B43" s="514">
        <v>2</v>
      </c>
      <c r="C43" s="97"/>
      <c r="D43" s="136" t="s">
        <v>225</v>
      </c>
      <c r="E43" s="88"/>
      <c r="H43" s="483"/>
      <c r="I43" s="483"/>
      <c r="J43" s="482"/>
    </row>
    <row r="44" spans="1:10" ht="16.5" thickBot="1" x14ac:dyDescent="0.3">
      <c r="A44" s="22" t="s">
        <v>132</v>
      </c>
      <c r="B44" s="23" t="s">
        <v>17</v>
      </c>
      <c r="C44" s="156" t="s">
        <v>18</v>
      </c>
      <c r="D44" s="242" t="s">
        <v>114</v>
      </c>
      <c r="E44" s="206" t="s">
        <v>20</v>
      </c>
    </row>
    <row r="45" spans="1:10" x14ac:dyDescent="0.25">
      <c r="A45" s="34" t="s">
        <v>177</v>
      </c>
      <c r="B45" s="265">
        <f>(0.75+0.6*(B8/B5)-(0.102*B36*1.072^(B12-15))/(1+0.17*B36*(1.072^(B12-15))))*((B5-B18)*B2/1000)</f>
        <v>210.86317204822552</v>
      </c>
      <c r="C45" s="10" t="s">
        <v>226</v>
      </c>
      <c r="D45" s="250"/>
      <c r="E45" s="24"/>
    </row>
    <row r="46" spans="1:10" ht="17.25" x14ac:dyDescent="0.25">
      <c r="A46" s="30" t="s">
        <v>227</v>
      </c>
      <c r="B46" s="40">
        <f>B36*B45/B41*1000</f>
        <v>843.45268819290209</v>
      </c>
      <c r="C46" s="85" t="s">
        <v>78</v>
      </c>
      <c r="D46" s="13"/>
      <c r="E46" s="26"/>
      <c r="F46" s="35"/>
    </row>
    <row r="47" spans="1:10" ht="17.25" x14ac:dyDescent="0.25">
      <c r="A47" s="30" t="s">
        <v>228</v>
      </c>
      <c r="B47" s="15">
        <f>B46*B37</f>
        <v>210.86317204822552</v>
      </c>
      <c r="C47" s="85" t="s">
        <v>78</v>
      </c>
      <c r="D47" s="13"/>
      <c r="E47" s="26"/>
    </row>
    <row r="48" spans="1:10" ht="17.25" x14ac:dyDescent="0.25">
      <c r="A48" s="215" t="s">
        <v>229</v>
      </c>
      <c r="B48" s="210">
        <f>IF(B16="No",0,MAXA(B39*B3,B38*B46))</f>
        <v>126.51790322893531</v>
      </c>
      <c r="C48" s="216" t="s">
        <v>78</v>
      </c>
      <c r="D48" s="107"/>
      <c r="E48" s="217"/>
    </row>
    <row r="49" spans="1:6" ht="17.25" x14ac:dyDescent="0.25">
      <c r="A49" s="30" t="s">
        <v>230</v>
      </c>
      <c r="B49" s="15">
        <f>+B48+B46</f>
        <v>969.97059142183741</v>
      </c>
      <c r="C49" s="85" t="s">
        <v>78</v>
      </c>
      <c r="D49" s="13"/>
      <c r="E49" s="26"/>
    </row>
    <row r="50" spans="1:6" x14ac:dyDescent="0.25">
      <c r="A50" s="30" t="s">
        <v>65</v>
      </c>
      <c r="B50" s="12">
        <v>2</v>
      </c>
      <c r="C50" s="13" t="s">
        <v>66</v>
      </c>
      <c r="D50" s="246" t="s">
        <v>231</v>
      </c>
      <c r="E50" s="26"/>
    </row>
    <row r="51" spans="1:6" x14ac:dyDescent="0.25">
      <c r="A51" s="30" t="s">
        <v>130</v>
      </c>
      <c r="B51" s="40">
        <f>SQRT(B49/B50/B42/B43)</f>
        <v>6.964088567148746</v>
      </c>
      <c r="C51" s="13" t="s">
        <v>49</v>
      </c>
      <c r="D51" s="13"/>
      <c r="E51" s="26"/>
    </row>
    <row r="52" spans="1:6" x14ac:dyDescent="0.25">
      <c r="A52" s="30" t="s">
        <v>122</v>
      </c>
      <c r="B52" s="40">
        <f>B51*B43</f>
        <v>13.928177134297492</v>
      </c>
      <c r="C52" s="13" t="s">
        <v>49</v>
      </c>
      <c r="D52" s="13"/>
      <c r="E52" s="26"/>
    </row>
    <row r="53" spans="1:6" x14ac:dyDescent="0.25">
      <c r="A53" s="337" t="s">
        <v>232</v>
      </c>
      <c r="B53" s="338">
        <f>ROUNDUP(+B52,0)</f>
        <v>14</v>
      </c>
      <c r="C53" s="339" t="s">
        <v>49</v>
      </c>
      <c r="D53" s="134"/>
      <c r="E53" s="170"/>
    </row>
    <row r="54" spans="1:6" x14ac:dyDescent="0.25">
      <c r="A54" s="30" t="s">
        <v>233</v>
      </c>
      <c r="B54" s="42">
        <f>IF(B16="Si",ROUNDUP(B48/B57/B56/B50,1),0)</f>
        <v>1.9000000000000001</v>
      </c>
      <c r="C54" s="13" t="s">
        <v>49</v>
      </c>
      <c r="D54" s="196"/>
      <c r="E54" s="26"/>
    </row>
    <row r="55" spans="1:6" x14ac:dyDescent="0.25">
      <c r="A55" s="30" t="s">
        <v>234</v>
      </c>
      <c r="B55" s="42">
        <f>ROUNDUP(B47/B57/B56/B50,1)</f>
        <v>3.1</v>
      </c>
      <c r="C55" s="13" t="s">
        <v>49</v>
      </c>
      <c r="D55" s="13"/>
      <c r="E55" s="26"/>
    </row>
    <row r="56" spans="1:6" x14ac:dyDescent="0.25">
      <c r="A56" s="36" t="s">
        <v>116</v>
      </c>
      <c r="B56" s="65">
        <f>ROUNDUP(B51,0)</f>
        <v>7</v>
      </c>
      <c r="C56" s="37" t="s">
        <v>49</v>
      </c>
      <c r="D56" s="13"/>
      <c r="E56" s="26"/>
    </row>
    <row r="57" spans="1:6" x14ac:dyDescent="0.25">
      <c r="A57" s="36" t="s">
        <v>119</v>
      </c>
      <c r="B57" s="65">
        <f>ROUNDUP(+B42,1)</f>
        <v>5</v>
      </c>
      <c r="C57" s="37" t="s">
        <v>49</v>
      </c>
      <c r="D57" s="13"/>
      <c r="E57" s="26"/>
      <c r="F57" s="149"/>
    </row>
    <row r="58" spans="1:6" ht="17.25" x14ac:dyDescent="0.25">
      <c r="A58" s="66" t="s">
        <v>98</v>
      </c>
      <c r="B58" s="119">
        <f>+B50*B53*B56</f>
        <v>196</v>
      </c>
      <c r="C58" s="37" t="s">
        <v>99</v>
      </c>
      <c r="D58" s="13"/>
      <c r="E58" s="388"/>
    </row>
    <row r="59" spans="1:6" ht="18" thickBot="1" x14ac:dyDescent="0.3">
      <c r="A59" s="38" t="s">
        <v>100</v>
      </c>
      <c r="B59" s="171">
        <f>B58*B57</f>
        <v>980</v>
      </c>
      <c r="C59" s="251" t="s">
        <v>101</v>
      </c>
      <c r="D59" s="252"/>
      <c r="E59" s="389" t="str">
        <f>CONCATENATE("Exceso sobre el necesario ",ROUNDUP((B59/B49-1)*100,1)," %")</f>
        <v>Exceso sobre el necesario 1,1 %</v>
      </c>
    </row>
    <row r="60" spans="1:6" ht="16.5" thickBot="1" x14ac:dyDescent="0.3">
      <c r="A60" s="248" t="s">
        <v>235</v>
      </c>
      <c r="B60" s="29" t="s">
        <v>17</v>
      </c>
      <c r="C60" s="197" t="s">
        <v>18</v>
      </c>
      <c r="D60" s="54" t="s">
        <v>114</v>
      </c>
      <c r="E60" s="249" t="s">
        <v>20</v>
      </c>
    </row>
    <row r="61" spans="1:6" x14ac:dyDescent="0.25">
      <c r="A61" s="96" t="s">
        <v>603</v>
      </c>
      <c r="B61" s="410">
        <f>B59*B41/B45/1000</f>
        <v>18.590254343245274</v>
      </c>
      <c r="C61" s="87" t="s">
        <v>213</v>
      </c>
      <c r="D61" s="91" t="str">
        <f>"≥ " &amp;B36&amp; " días (CD)"</f>
        <v>≥ 16 días (CD)</v>
      </c>
      <c r="E61" s="184" t="str">
        <f>IF(B61&lt;B36,"Revisar dimensiones","")</f>
        <v/>
      </c>
    </row>
    <row r="62" spans="1:6" x14ac:dyDescent="0.25">
      <c r="B62" s="32"/>
      <c r="E62" s="166"/>
    </row>
    <row r="63" spans="1:6" ht="6.75" customHeight="1" x14ac:dyDescent="0.25">
      <c r="A63" s="157" t="s">
        <v>164</v>
      </c>
      <c r="B63" s="32"/>
      <c r="E63" s="166"/>
    </row>
    <row r="64" spans="1:6" ht="15.75" x14ac:dyDescent="0.25">
      <c r="A64" s="240" t="s">
        <v>165</v>
      </c>
      <c r="B64" s="241" t="s">
        <v>17</v>
      </c>
      <c r="C64" s="139" t="s">
        <v>18</v>
      </c>
      <c r="D64" s="80" t="s">
        <v>114</v>
      </c>
      <c r="E64" s="98" t="s">
        <v>20</v>
      </c>
    </row>
    <row r="65" spans="1:5" ht="17.25" x14ac:dyDescent="0.25">
      <c r="A65" s="77" t="s">
        <v>102</v>
      </c>
      <c r="B65" s="515">
        <v>0.5</v>
      </c>
      <c r="C65" s="117" t="s">
        <v>124</v>
      </c>
      <c r="D65" s="109" t="s">
        <v>236</v>
      </c>
      <c r="E65" s="102"/>
    </row>
    <row r="66" spans="1:5" ht="17.25" x14ac:dyDescent="0.25">
      <c r="A66" s="77" t="s">
        <v>95</v>
      </c>
      <c r="B66" s="515">
        <v>1</v>
      </c>
      <c r="C66" s="13" t="s">
        <v>124</v>
      </c>
      <c r="D66" s="194" t="s">
        <v>166</v>
      </c>
      <c r="E66" s="99"/>
    </row>
    <row r="67" spans="1:5" ht="15.75" x14ac:dyDescent="0.25">
      <c r="A67" s="103" t="s">
        <v>64</v>
      </c>
      <c r="B67" s="104" t="s">
        <v>17</v>
      </c>
      <c r="C67" s="104" t="s">
        <v>18</v>
      </c>
      <c r="D67" s="190" t="s">
        <v>114</v>
      </c>
      <c r="E67" s="145" t="s">
        <v>20</v>
      </c>
    </row>
    <row r="68" spans="1:5" x14ac:dyDescent="0.25">
      <c r="A68" s="81" t="s">
        <v>123</v>
      </c>
      <c r="B68" s="513">
        <v>3.5</v>
      </c>
      <c r="C68" t="s">
        <v>49</v>
      </c>
      <c r="D68" s="421" t="s">
        <v>591</v>
      </c>
      <c r="E68" s="83"/>
    </row>
    <row r="69" spans="1:5" x14ac:dyDescent="0.25">
      <c r="A69" s="81" t="s">
        <v>167</v>
      </c>
      <c r="B69" s="516">
        <v>1</v>
      </c>
      <c r="D69" s="203" t="s">
        <v>97</v>
      </c>
      <c r="E69" s="83"/>
    </row>
    <row r="70" spans="1:5" x14ac:dyDescent="0.25">
      <c r="A70" s="112" t="s">
        <v>168</v>
      </c>
      <c r="B70" s="517">
        <v>0.45</v>
      </c>
      <c r="C70" s="340"/>
      <c r="D70" s="417" t="s">
        <v>169</v>
      </c>
      <c r="E70" s="88"/>
    </row>
    <row r="71" spans="1:5" ht="15.75" x14ac:dyDescent="0.25">
      <c r="A71" s="28" t="s">
        <v>170</v>
      </c>
      <c r="B71" s="29" t="s">
        <v>17</v>
      </c>
      <c r="C71" s="197" t="s">
        <v>18</v>
      </c>
      <c r="D71" s="54" t="s">
        <v>114</v>
      </c>
      <c r="E71" s="55" t="s">
        <v>20</v>
      </c>
    </row>
    <row r="72" spans="1:5" ht="17.25" x14ac:dyDescent="0.25">
      <c r="A72" s="30" t="s">
        <v>129</v>
      </c>
      <c r="B72" s="15">
        <f>MAXA(B3/B65,B4/B66)</f>
        <v>118.98349438334316</v>
      </c>
      <c r="C72" s="82" t="s">
        <v>67</v>
      </c>
      <c r="D72" s="48"/>
      <c r="E72" s="14"/>
    </row>
    <row r="73" spans="1:5" x14ac:dyDescent="0.25">
      <c r="A73" s="30" t="s">
        <v>65</v>
      </c>
      <c r="B73" s="15">
        <f>B50</f>
        <v>2</v>
      </c>
      <c r="C73" s="13" t="s">
        <v>66</v>
      </c>
      <c r="D73" s="172" t="s">
        <v>237</v>
      </c>
      <c r="E73" s="14"/>
    </row>
    <row r="74" spans="1:5" x14ac:dyDescent="0.25">
      <c r="A74" s="11" t="s">
        <v>122</v>
      </c>
      <c r="B74" s="42">
        <f>B75*B69</f>
        <v>7.7130893416108943</v>
      </c>
      <c r="C74" s="48" t="s">
        <v>49</v>
      </c>
      <c r="D74" s="194"/>
      <c r="E74" s="14"/>
    </row>
    <row r="75" spans="1:5" x14ac:dyDescent="0.25">
      <c r="A75" s="30" t="s">
        <v>130</v>
      </c>
      <c r="B75" s="42">
        <f>SQRT(B72/(B73*B69))</f>
        <v>7.7130893416108943</v>
      </c>
      <c r="C75" s="13" t="s">
        <v>49</v>
      </c>
      <c r="D75" s="194"/>
      <c r="E75" s="14"/>
    </row>
    <row r="76" spans="1:5" x14ac:dyDescent="0.25">
      <c r="A76" s="30" t="s">
        <v>171</v>
      </c>
      <c r="B76" s="42">
        <f>B78/2*B70</f>
        <v>1.7549999999999999</v>
      </c>
      <c r="C76" s="48" t="s">
        <v>49</v>
      </c>
      <c r="D76" s="48"/>
      <c r="E76" s="14"/>
    </row>
    <row r="77" spans="1:5" ht="17.25" x14ac:dyDescent="0.25">
      <c r="A77" s="150" t="s">
        <v>172</v>
      </c>
      <c r="B77" s="42">
        <f>B74*B75*B76/3</f>
        <v>34.802672107127869</v>
      </c>
      <c r="C77" s="51" t="s">
        <v>78</v>
      </c>
      <c r="D77" s="48"/>
      <c r="E77" s="14"/>
    </row>
    <row r="78" spans="1:5" x14ac:dyDescent="0.25">
      <c r="A78" s="61" t="s">
        <v>118</v>
      </c>
      <c r="B78" s="62">
        <f>ROUNDUP(B74,1)</f>
        <v>7.8</v>
      </c>
      <c r="C78" s="63" t="s">
        <v>49</v>
      </c>
      <c r="D78" s="64"/>
      <c r="E78" s="75"/>
    </row>
    <row r="79" spans="1:5" x14ac:dyDescent="0.25">
      <c r="A79" s="36" t="s">
        <v>116</v>
      </c>
      <c r="B79" s="65">
        <f>ROUNDUP(B75,1)</f>
        <v>7.8</v>
      </c>
      <c r="C79" s="37" t="s">
        <v>49</v>
      </c>
      <c r="D79" s="48"/>
      <c r="E79" s="14"/>
    </row>
    <row r="80" spans="1:5" x14ac:dyDescent="0.25">
      <c r="A80" s="36" t="s">
        <v>119</v>
      </c>
      <c r="B80" s="65">
        <f>ROUNDUP(B68+B76,1)</f>
        <v>5.3</v>
      </c>
      <c r="C80" s="37" t="s">
        <v>49</v>
      </c>
      <c r="D80" s="48"/>
      <c r="E80" s="14"/>
    </row>
    <row r="81" spans="1:6" ht="17.25" x14ac:dyDescent="0.25">
      <c r="A81" s="36" t="s">
        <v>98</v>
      </c>
      <c r="B81" s="119">
        <f>B78*B79*B73</f>
        <v>121.67999999999999</v>
      </c>
      <c r="C81" s="153" t="s">
        <v>99</v>
      </c>
      <c r="D81" s="48"/>
      <c r="E81" s="390" t="str">
        <f>CONCATENATE("Exceso sobre el necesario ",ROUNDUP((+B81/B72-1)*100,1)," %")</f>
        <v>Exceso sobre el necesario 2,3 %</v>
      </c>
    </row>
    <row r="82" spans="1:6" ht="17.25" x14ac:dyDescent="0.25">
      <c r="A82" s="38" t="s">
        <v>100</v>
      </c>
      <c r="B82" s="171">
        <f>B81*B68+B77</f>
        <v>460.68267210712787</v>
      </c>
      <c r="C82" s="39" t="s">
        <v>101</v>
      </c>
      <c r="D82" s="350"/>
      <c r="E82" s="264"/>
    </row>
    <row r="83" spans="1:6" ht="15.75" x14ac:dyDescent="0.25">
      <c r="A83" s="123" t="s">
        <v>173</v>
      </c>
      <c r="B83" s="23" t="s">
        <v>17</v>
      </c>
      <c r="C83" s="156" t="s">
        <v>18</v>
      </c>
      <c r="D83" s="242" t="s">
        <v>114</v>
      </c>
      <c r="E83" s="243" t="s">
        <v>20</v>
      </c>
    </row>
    <row r="84" spans="1:6" x14ac:dyDescent="0.25">
      <c r="A84" s="137" t="s">
        <v>102</v>
      </c>
      <c r="B84" s="122">
        <f>+B3/B81</f>
        <v>0.30133683979837833</v>
      </c>
      <c r="C84" s="117" t="s">
        <v>124</v>
      </c>
      <c r="D84" s="346" t="s">
        <v>238</v>
      </c>
      <c r="E84" s="315" t="str">
        <f>IF(B84&gt;0.5,"Revisar","")</f>
        <v/>
      </c>
    </row>
    <row r="85" spans="1:6" x14ac:dyDescent="0.25">
      <c r="A85" s="77" t="s">
        <v>95</v>
      </c>
      <c r="B85" s="40">
        <f>+B4/B81</f>
        <v>0.97783936869940147</v>
      </c>
      <c r="C85" s="13" t="s">
        <v>124</v>
      </c>
      <c r="D85" s="194" t="s">
        <v>592</v>
      </c>
      <c r="E85" s="163" t="str">
        <f>IF(B85&gt;1,"Revisar","")</f>
        <v/>
      </c>
    </row>
    <row r="86" spans="1:6" ht="17.25" x14ac:dyDescent="0.25">
      <c r="A86" s="81" t="s">
        <v>174</v>
      </c>
      <c r="B86" s="162">
        <f>B4/((2*B78+2*B79)*B73)</f>
        <v>1.9067867689638327</v>
      </c>
      <c r="C86" t="s">
        <v>239</v>
      </c>
      <c r="D86" s="201" t="s">
        <v>175</v>
      </c>
      <c r="E86" s="138" t="str">
        <f>IF(B86&gt;12,"Revisar","")</f>
        <v/>
      </c>
    </row>
    <row r="87" spans="1:6" x14ac:dyDescent="0.25">
      <c r="A87" s="96" t="s">
        <v>123</v>
      </c>
      <c r="B87" s="100">
        <f>B80</f>
        <v>5.3</v>
      </c>
      <c r="C87" s="87" t="s">
        <v>49</v>
      </c>
      <c r="D87" s="319" t="s">
        <v>176</v>
      </c>
      <c r="E87" s="184" t="str">
        <f>IF(B87&lt;3.5,"Revisar","")</f>
        <v/>
      </c>
      <c r="F87" s="57"/>
    </row>
    <row r="88" spans="1:6" x14ac:dyDescent="0.25">
      <c r="B88" s="32"/>
      <c r="D88" s="244"/>
      <c r="E88" s="5"/>
    </row>
    <row r="89" spans="1:6" ht="15.75" customHeight="1" x14ac:dyDescent="0.25">
      <c r="A89" s="41" t="s">
        <v>103</v>
      </c>
      <c r="B89" s="67" t="s">
        <v>17</v>
      </c>
      <c r="C89" s="140" t="s">
        <v>18</v>
      </c>
      <c r="D89" s="73" t="s">
        <v>114</v>
      </c>
      <c r="E89" s="74" t="s">
        <v>20</v>
      </c>
    </row>
    <row r="90" spans="1:6" x14ac:dyDescent="0.25">
      <c r="A90" s="371" t="s">
        <v>133</v>
      </c>
      <c r="B90" s="132"/>
      <c r="C90" s="129"/>
      <c r="D90" s="132"/>
      <c r="E90" s="93"/>
    </row>
    <row r="91" spans="1:6" x14ac:dyDescent="0.25">
      <c r="A91" s="359" t="s">
        <v>134</v>
      </c>
      <c r="B91" s="169">
        <f>+B45</f>
        <v>210.86317204822552</v>
      </c>
      <c r="C91" t="s">
        <v>226</v>
      </c>
      <c r="D91" s="85"/>
      <c r="E91" s="83"/>
    </row>
    <row r="92" spans="1:6" ht="18" x14ac:dyDescent="0.35">
      <c r="A92" s="372" t="s">
        <v>240</v>
      </c>
      <c r="B92" s="169">
        <f>B103*B6</f>
        <v>243.13721259952422</v>
      </c>
      <c r="C92" s="109" t="s">
        <v>178</v>
      </c>
      <c r="D92" s="85"/>
      <c r="E92" s="83"/>
    </row>
    <row r="93" spans="1:6" ht="33" x14ac:dyDescent="0.35">
      <c r="A93" s="253" t="s">
        <v>135</v>
      </c>
      <c r="B93" s="276">
        <f>B91/B20</f>
        <v>0.88065926331461886</v>
      </c>
      <c r="C93" s="370" t="s">
        <v>241</v>
      </c>
      <c r="D93" s="376" t="s">
        <v>242</v>
      </c>
      <c r="E93" s="83"/>
    </row>
    <row r="94" spans="1:6" x14ac:dyDescent="0.25">
      <c r="A94" s="359" t="s">
        <v>136</v>
      </c>
      <c r="B94" s="256">
        <f>+B41/1000*2*0.9/1000</f>
        <v>7.1999999999999998E-3</v>
      </c>
      <c r="C94" t="s">
        <v>243</v>
      </c>
      <c r="D94" s="85"/>
      <c r="E94" s="83"/>
    </row>
    <row r="95" spans="1:6" ht="17.25" x14ac:dyDescent="0.25">
      <c r="A95" s="372" t="s">
        <v>137</v>
      </c>
      <c r="B95" s="169">
        <f>B91/B94/1000</f>
        <v>29.286551673364659</v>
      </c>
      <c r="C95" t="s">
        <v>32</v>
      </c>
      <c r="D95" s="85"/>
      <c r="E95" s="83"/>
    </row>
    <row r="96" spans="1:6" ht="18" x14ac:dyDescent="0.35">
      <c r="A96" s="269" t="s">
        <v>138</v>
      </c>
      <c r="B96" s="518">
        <v>0.05</v>
      </c>
      <c r="C96" s="109" t="s">
        <v>139</v>
      </c>
      <c r="D96" s="203" t="s">
        <v>244</v>
      </c>
      <c r="E96" s="83"/>
    </row>
    <row r="97" spans="1:5" x14ac:dyDescent="0.25">
      <c r="A97" s="372" t="s">
        <v>140</v>
      </c>
      <c r="B97" s="277">
        <f>B92*B96/B91</f>
        <v>5.765283957312315E-2</v>
      </c>
      <c r="C97" s="109" t="s">
        <v>141</v>
      </c>
      <c r="D97" s="201"/>
      <c r="E97" s="83"/>
    </row>
    <row r="98" spans="1:5" ht="18" x14ac:dyDescent="0.35">
      <c r="A98" s="269" t="s">
        <v>142</v>
      </c>
      <c r="B98" s="383">
        <f>IF(B16="Si",(B10-B30)/(B5-B104),1%)</f>
        <v>-1.4477421873704941E-2</v>
      </c>
      <c r="C98" s="109" t="s">
        <v>143</v>
      </c>
      <c r="D98" s="201" t="s">
        <v>245</v>
      </c>
      <c r="E98" s="83"/>
    </row>
    <row r="99" spans="1:5" x14ac:dyDescent="0.25">
      <c r="A99" s="372" t="s">
        <v>144</v>
      </c>
      <c r="B99" s="347">
        <f>B92*B98/B91</f>
        <v>-1.6693289614342698E-2</v>
      </c>
      <c r="C99" t="s">
        <v>145</v>
      </c>
      <c r="D99" s="85"/>
      <c r="E99" s="83"/>
    </row>
    <row r="100" spans="1:5" x14ac:dyDescent="0.25">
      <c r="A100" s="373" t="s">
        <v>147</v>
      </c>
      <c r="B100" s="519">
        <v>1</v>
      </c>
      <c r="C100" s="97" t="s">
        <v>146</v>
      </c>
      <c r="D100" s="205" t="s">
        <v>246</v>
      </c>
      <c r="E100" s="88"/>
    </row>
    <row r="102" spans="1:5" ht="15" customHeight="1" x14ac:dyDescent="0.25">
      <c r="A102" s="103" t="s">
        <v>148</v>
      </c>
      <c r="B102" s="104" t="s">
        <v>17</v>
      </c>
      <c r="C102" s="159" t="s">
        <v>18</v>
      </c>
      <c r="D102" s="190" t="s">
        <v>114</v>
      </c>
      <c r="E102" s="145" t="s">
        <v>20</v>
      </c>
    </row>
    <row r="103" spans="1:5" x14ac:dyDescent="0.25">
      <c r="A103" s="554" t="s">
        <v>149</v>
      </c>
      <c r="B103" s="520">
        <v>0.93</v>
      </c>
      <c r="C103" t="s">
        <v>179</v>
      </c>
      <c r="D103" s="201" t="s">
        <v>247</v>
      </c>
      <c r="E103" s="412" t="str">
        <f>IF(B18="","",IF(B104&gt;B18,"Rendimiento en DBO5 insuficiente",""))</f>
        <v/>
      </c>
    </row>
    <row r="104" spans="1:5" ht="15.75" customHeight="1" x14ac:dyDescent="0.25">
      <c r="A104" s="555"/>
      <c r="B104" s="358">
        <f>B5-B5*B103</f>
        <v>20.796193648541873</v>
      </c>
      <c r="C104" s="72" t="s">
        <v>39</v>
      </c>
      <c r="D104" s="85"/>
      <c r="E104" s="413"/>
    </row>
    <row r="105" spans="1:5" ht="15" customHeight="1" x14ac:dyDescent="0.25">
      <c r="A105" s="556" t="s">
        <v>180</v>
      </c>
      <c r="B105" s="262">
        <f>1-B107/B7</f>
        <v>0.82843137254901977</v>
      </c>
      <c r="C105" s="223" t="s">
        <v>179</v>
      </c>
      <c r="D105" s="378" t="s">
        <v>248</v>
      </c>
      <c r="E105" s="266" t="str">
        <f>IF(B21="","",IF(B107&gt;B21,"Rendimiento en DQO insuficiente",""))</f>
        <v/>
      </c>
    </row>
    <row r="106" spans="1:5" ht="15" customHeight="1" x14ac:dyDescent="0.35">
      <c r="A106" s="558"/>
      <c r="B106" s="521">
        <v>0.24</v>
      </c>
      <c r="C106" s="109" t="s">
        <v>150</v>
      </c>
      <c r="D106" s="203" t="s">
        <v>249</v>
      </c>
      <c r="E106" s="267"/>
    </row>
    <row r="107" spans="1:5" ht="15" customHeight="1" x14ac:dyDescent="0.25">
      <c r="A107" s="557"/>
      <c r="B107" s="260">
        <f>B104/B106</f>
        <v>86.650806868924477</v>
      </c>
      <c r="C107" s="72" t="s">
        <v>39</v>
      </c>
      <c r="D107" s="216"/>
      <c r="E107" s="268"/>
    </row>
    <row r="108" spans="1:5" ht="15" customHeight="1" x14ac:dyDescent="0.25">
      <c r="A108" s="556" t="s">
        <v>250</v>
      </c>
      <c r="B108" s="522">
        <v>0.93</v>
      </c>
      <c r="C108" s="64" t="s">
        <v>179</v>
      </c>
      <c r="D108" s="201" t="s">
        <v>251</v>
      </c>
      <c r="E108" s="414" t="str">
        <f>IF(B24="","",IF(B109&gt;B24,"Rendimiento en SS insuficiente",""))</f>
        <v/>
      </c>
    </row>
    <row r="109" spans="1:5" x14ac:dyDescent="0.25">
      <c r="A109" s="557"/>
      <c r="B109" s="435">
        <f>B8-B8*B108</f>
        <v>20.796193648541873</v>
      </c>
      <c r="C109" s="76" t="s">
        <v>39</v>
      </c>
      <c r="D109" s="216"/>
      <c r="E109" s="413"/>
    </row>
    <row r="110" spans="1:5" x14ac:dyDescent="0.25">
      <c r="A110" s="556" t="s">
        <v>252</v>
      </c>
      <c r="B110" s="212">
        <f>1-B111/B9</f>
        <v>0.83169997071818003</v>
      </c>
      <c r="C110" s="45" t="s">
        <v>179</v>
      </c>
      <c r="D110" s="194" t="s">
        <v>253</v>
      </c>
      <c r="E110" s="415" t="str">
        <f>IF(B27="","",IF(B111&gt;B27,"Rendimiento en NT insuficiente",""))</f>
        <v/>
      </c>
    </row>
    <row r="111" spans="1:5" ht="15" customHeight="1" x14ac:dyDescent="0.25">
      <c r="A111" s="557"/>
      <c r="B111" s="523">
        <f>10</f>
        <v>10</v>
      </c>
      <c r="C111" s="13" t="s">
        <v>39</v>
      </c>
      <c r="D111" s="194" t="s">
        <v>579</v>
      </c>
      <c r="E111" s="416"/>
    </row>
    <row r="112" spans="1:5" ht="15" customHeight="1" x14ac:dyDescent="0.25">
      <c r="A112" s="556" t="s">
        <v>254</v>
      </c>
      <c r="B112" s="212">
        <f>1-B113/B10</f>
        <v>-1</v>
      </c>
      <c r="C112" s="45" t="s">
        <v>179</v>
      </c>
      <c r="D112" s="384" t="s">
        <v>255</v>
      </c>
      <c r="E112" s="415" t="str">
        <f>IF(B30="","",IF(B113&gt;B30,"Rendimiento en PT insuficiente",""))</f>
        <v/>
      </c>
    </row>
    <row r="113" spans="1:5" ht="15" customHeight="1" x14ac:dyDescent="0.25">
      <c r="A113" s="557"/>
      <c r="B113" s="211">
        <f>B10-B91*B99/B2*1000</f>
        <v>8</v>
      </c>
      <c r="C113" s="51" t="s">
        <v>39</v>
      </c>
      <c r="D113" s="201"/>
      <c r="E113" s="416"/>
    </row>
    <row r="114" spans="1:5" ht="15" customHeight="1" x14ac:dyDescent="0.25">
      <c r="A114" s="597" t="s">
        <v>181</v>
      </c>
      <c r="B114" s="524">
        <v>1</v>
      </c>
      <c r="C114" s="85" t="s">
        <v>151</v>
      </c>
      <c r="D114" s="381" t="s">
        <v>256</v>
      </c>
      <c r="E114" s="78"/>
    </row>
    <row r="115" spans="1:5" x14ac:dyDescent="0.25">
      <c r="A115" s="598"/>
      <c r="B115" s="343">
        <f>IF(B114&lt;1,B11-B114*10000000,10^(LOG10(B11)-B114))</f>
        <v>1000000</v>
      </c>
      <c r="C115" s="136" t="s">
        <v>45</v>
      </c>
      <c r="D115" s="97"/>
      <c r="E115" s="79"/>
    </row>
    <row r="116" spans="1:5" ht="15" customHeight="1" x14ac:dyDescent="0.25">
      <c r="A116" s="305"/>
      <c r="C116" s="97"/>
      <c r="D116" s="97"/>
      <c r="E116" s="97"/>
    </row>
    <row r="117" spans="1:5" ht="15" customHeight="1" x14ac:dyDescent="0.25">
      <c r="A117" s="116" t="s">
        <v>257</v>
      </c>
      <c r="B117" s="124" t="s">
        <v>17</v>
      </c>
      <c r="C117" s="142" t="s">
        <v>18</v>
      </c>
      <c r="D117" s="125" t="s">
        <v>114</v>
      </c>
      <c r="E117" s="275" t="s">
        <v>20</v>
      </c>
    </row>
    <row r="118" spans="1:5" ht="15.75" customHeight="1" x14ac:dyDescent="0.25">
      <c r="A118" s="137" t="s">
        <v>51</v>
      </c>
      <c r="B118" s="465">
        <f>'0 - BASESP'!B28</f>
        <v>1</v>
      </c>
      <c r="C118" s="117"/>
      <c r="D118" s="364" t="s">
        <v>68</v>
      </c>
      <c r="E118" s="185"/>
    </row>
    <row r="119" spans="1:5" x14ac:dyDescent="0.25">
      <c r="A119" s="77" t="s">
        <v>53</v>
      </c>
      <c r="B119" s="466">
        <f>'0 - BASESP'!B29</f>
        <v>1</v>
      </c>
      <c r="C119" s="13"/>
      <c r="D119" s="13" t="s">
        <v>69</v>
      </c>
      <c r="E119" s="99"/>
    </row>
    <row r="120" spans="1:5" x14ac:dyDescent="0.25">
      <c r="A120" s="77" t="s">
        <v>55</v>
      </c>
      <c r="B120" s="467">
        <f>'0 - BASESP'!B30</f>
        <v>1</v>
      </c>
      <c r="C120" s="13"/>
      <c r="D120" s="13" t="s">
        <v>70</v>
      </c>
      <c r="E120" s="99"/>
    </row>
    <row r="121" spans="1:5" x14ac:dyDescent="0.25">
      <c r="A121" s="95" t="s">
        <v>71</v>
      </c>
      <c r="B121" s="12">
        <v>0</v>
      </c>
      <c r="C121" s="13" t="s">
        <v>66</v>
      </c>
      <c r="D121" s="48"/>
      <c r="E121" s="99"/>
    </row>
    <row r="122" spans="1:5" x14ac:dyDescent="0.25">
      <c r="A122" s="218" t="s">
        <v>72</v>
      </c>
      <c r="B122" s="210">
        <f>B50+B121</f>
        <v>2</v>
      </c>
      <c r="C122" s="107" t="s">
        <v>66</v>
      </c>
      <c r="D122" s="110"/>
      <c r="E122" s="226"/>
    </row>
    <row r="123" spans="1:5" x14ac:dyDescent="0.25">
      <c r="A123" s="77" t="s">
        <v>152</v>
      </c>
      <c r="B123" s="525">
        <v>0.5</v>
      </c>
      <c r="C123" s="13" t="s">
        <v>49</v>
      </c>
      <c r="D123" s="195" t="s">
        <v>258</v>
      </c>
      <c r="E123" s="99"/>
    </row>
    <row r="124" spans="1:5" x14ac:dyDescent="0.25">
      <c r="A124" s="77" t="s">
        <v>121</v>
      </c>
      <c r="B124" s="42">
        <f>+B123+B57</f>
        <v>5.5</v>
      </c>
      <c r="C124" s="13" t="s">
        <v>49</v>
      </c>
      <c r="D124" s="48"/>
      <c r="E124" s="99"/>
    </row>
    <row r="125" spans="1:5" x14ac:dyDescent="0.25">
      <c r="A125" s="77" t="s">
        <v>73</v>
      </c>
      <c r="B125" s="365">
        <f>IF(B120=1,0.5,1)</f>
        <v>0.5</v>
      </c>
      <c r="C125" s="13" t="s">
        <v>49</v>
      </c>
      <c r="D125" s="48"/>
      <c r="E125" s="99"/>
    </row>
    <row r="126" spans="1:5" x14ac:dyDescent="0.25">
      <c r="A126" s="77" t="s">
        <v>75</v>
      </c>
      <c r="B126" s="515">
        <v>0.5</v>
      </c>
      <c r="C126" s="13" t="s">
        <v>49</v>
      </c>
      <c r="D126" s="48" t="s">
        <v>259</v>
      </c>
      <c r="E126" s="99"/>
    </row>
    <row r="127" spans="1:5" x14ac:dyDescent="0.25">
      <c r="A127" s="359" t="s">
        <v>260</v>
      </c>
      <c r="B127" s="526">
        <v>0.25</v>
      </c>
      <c r="C127" s="174" t="s">
        <v>49</v>
      </c>
      <c r="D127" s="330" t="s">
        <v>261</v>
      </c>
      <c r="E127" s="99"/>
    </row>
    <row r="128" spans="1:5" x14ac:dyDescent="0.25">
      <c r="A128" s="77" t="s">
        <v>262</v>
      </c>
      <c r="B128" s="40">
        <f>+B124+B125-1</f>
        <v>5</v>
      </c>
      <c r="C128" s="13" t="s">
        <v>49</v>
      </c>
      <c r="D128" s="195" t="s">
        <v>184</v>
      </c>
      <c r="E128" s="99"/>
    </row>
    <row r="129" spans="1:8" ht="17.25" x14ac:dyDescent="0.25">
      <c r="A129" s="77" t="s">
        <v>76</v>
      </c>
      <c r="B129" s="15">
        <f>(B53+2*B126)*(B122*B56+(B122+1)*B126)</f>
        <v>232.5</v>
      </c>
      <c r="C129" s="82" t="s">
        <v>67</v>
      </c>
      <c r="D129" s="106"/>
      <c r="E129" s="366"/>
    </row>
    <row r="130" spans="1:8" x14ac:dyDescent="0.25">
      <c r="A130" s="359" t="s">
        <v>263</v>
      </c>
      <c r="B130" s="228">
        <f>+(IF(B54&gt;0,1,0)+IF(B55&gt;0,2,0))</f>
        <v>3</v>
      </c>
      <c r="C130" s="229"/>
      <c r="D130" s="377" t="s">
        <v>264</v>
      </c>
      <c r="E130" s="226"/>
    </row>
    <row r="131" spans="1:8" ht="17.25" x14ac:dyDescent="0.25">
      <c r="A131" s="367" t="s">
        <v>77</v>
      </c>
      <c r="B131" s="363">
        <f>B129*B125</f>
        <v>116.25</v>
      </c>
      <c r="C131" s="13" t="s">
        <v>78</v>
      </c>
      <c r="D131" s="48"/>
      <c r="E131" s="99"/>
    </row>
    <row r="132" spans="1:8" ht="17.25" x14ac:dyDescent="0.25">
      <c r="A132" s="167" t="s">
        <v>265</v>
      </c>
      <c r="B132" s="363">
        <f>+((B53+2*B126)*(B122+1)+B56*2*B122)*B126*B124</f>
        <v>200.75</v>
      </c>
      <c r="C132" s="13" t="s">
        <v>78</v>
      </c>
      <c r="D132" s="48"/>
      <c r="E132" s="99"/>
      <c r="G132" s="440"/>
      <c r="H132" s="440"/>
    </row>
    <row r="133" spans="1:8" ht="17.25" x14ac:dyDescent="0.25">
      <c r="A133" s="167" t="s">
        <v>266</v>
      </c>
      <c r="B133" s="363">
        <f>B122*B130*B56*B57*B127</f>
        <v>52.5</v>
      </c>
      <c r="C133" s="13" t="s">
        <v>78</v>
      </c>
      <c r="D133" s="48"/>
      <c r="E133" s="99"/>
    </row>
    <row r="134" spans="1:8" ht="17.25" x14ac:dyDescent="0.25">
      <c r="A134" s="167" t="s">
        <v>105</v>
      </c>
      <c r="B134" s="363">
        <f>+B131*0.1</f>
        <v>11.625</v>
      </c>
      <c r="C134" s="13" t="s">
        <v>78</v>
      </c>
      <c r="D134" s="48"/>
      <c r="E134" s="99"/>
    </row>
    <row r="135" spans="1:8" x14ac:dyDescent="0.25">
      <c r="A135" s="167" t="s">
        <v>80</v>
      </c>
      <c r="B135" s="363">
        <f>+(B131+B132+B134)*120+B133*100</f>
        <v>44685</v>
      </c>
      <c r="C135" s="13" t="s">
        <v>81</v>
      </c>
      <c r="D135" s="48" t="s">
        <v>597</v>
      </c>
      <c r="E135" s="99"/>
    </row>
    <row r="136" spans="1:8" ht="17.25" x14ac:dyDescent="0.25">
      <c r="A136" s="167" t="s">
        <v>82</v>
      </c>
      <c r="B136" s="363">
        <f>(B53+2*B126*B122+B56*B122+B126)*2*(B124+B125)+(B53+B56)*2*B122*B124+B122*B130*B56*B57*2</f>
        <v>1248</v>
      </c>
      <c r="C136" s="82" t="s">
        <v>67</v>
      </c>
      <c r="D136" s="48"/>
      <c r="E136" s="99"/>
    </row>
    <row r="137" spans="1:8" ht="17.25" x14ac:dyDescent="0.25">
      <c r="A137" s="167" t="s">
        <v>106</v>
      </c>
      <c r="B137" s="363">
        <f>IF(B118=1,(B53+2*B126+2)*(B122*B56+(B122+1)*B126+2)*B128,(B53+2*B126+0.5)*(B122*B56+(B122+1)*B126+0.5)*B128)</f>
        <v>1487.5</v>
      </c>
      <c r="C137" s="13" t="s">
        <v>78</v>
      </c>
      <c r="D137" s="48"/>
      <c r="E137" s="99"/>
      <c r="F137" s="31"/>
    </row>
    <row r="138" spans="1:8" ht="17.25" x14ac:dyDescent="0.25">
      <c r="A138" s="313" t="s">
        <v>267</v>
      </c>
      <c r="B138" s="368">
        <f>+B169*10</f>
        <v>30</v>
      </c>
      <c r="C138" s="151" t="s">
        <v>67</v>
      </c>
      <c r="D138" s="91"/>
      <c r="E138" s="101"/>
      <c r="F138" s="32"/>
    </row>
    <row r="139" spans="1:8" ht="16.5" thickBot="1" x14ac:dyDescent="0.3">
      <c r="A139" s="22" t="s">
        <v>268</v>
      </c>
      <c r="B139" s="23" t="s">
        <v>17</v>
      </c>
      <c r="C139" s="156" t="s">
        <v>18</v>
      </c>
      <c r="D139" s="242" t="s">
        <v>114</v>
      </c>
      <c r="E139" s="206" t="s">
        <v>20</v>
      </c>
      <c r="F139" s="173"/>
    </row>
    <row r="140" spans="1:8" x14ac:dyDescent="0.25">
      <c r="A140" s="137" t="s">
        <v>51</v>
      </c>
      <c r="B140" s="465">
        <f>'0 - BASESP'!B28</f>
        <v>1</v>
      </c>
      <c r="C140" s="117"/>
      <c r="D140" s="118" t="s">
        <v>269</v>
      </c>
      <c r="E140" s="185"/>
    </row>
    <row r="141" spans="1:8" x14ac:dyDescent="0.25">
      <c r="A141" s="77" t="s">
        <v>53</v>
      </c>
      <c r="B141" s="466">
        <f>'0 - BASESP'!B29</f>
        <v>1</v>
      </c>
      <c r="C141" s="13"/>
      <c r="D141" s="48" t="s">
        <v>270</v>
      </c>
      <c r="E141" s="99"/>
    </row>
    <row r="142" spans="1:8" x14ac:dyDescent="0.25">
      <c r="A142" s="77" t="s">
        <v>55</v>
      </c>
      <c r="B142" s="467">
        <f>'0 - BASESP'!B30</f>
        <v>1</v>
      </c>
      <c r="C142" s="13"/>
      <c r="D142" s="48" t="s">
        <v>70</v>
      </c>
      <c r="E142" s="99"/>
    </row>
    <row r="143" spans="1:8" x14ac:dyDescent="0.25">
      <c r="A143" s="225" t="s">
        <v>71</v>
      </c>
      <c r="B143" s="527">
        <v>0</v>
      </c>
      <c r="D143" s="85"/>
      <c r="E143" s="83"/>
    </row>
    <row r="144" spans="1:8" x14ac:dyDescent="0.25">
      <c r="A144" s="218" t="s">
        <v>72</v>
      </c>
      <c r="B144" s="210">
        <f>B143+B73</f>
        <v>2</v>
      </c>
      <c r="C144" s="107"/>
      <c r="D144" s="110"/>
      <c r="E144" s="226"/>
    </row>
    <row r="145" spans="1:6" x14ac:dyDescent="0.25">
      <c r="A145" s="77" t="s">
        <v>152</v>
      </c>
      <c r="B145" s="515">
        <v>0.5</v>
      </c>
      <c r="C145" s="13" t="s">
        <v>49</v>
      </c>
      <c r="D145" s="195" t="s">
        <v>258</v>
      </c>
      <c r="E145" s="99"/>
    </row>
    <row r="146" spans="1:6" x14ac:dyDescent="0.25">
      <c r="A146" s="77" t="s">
        <v>271</v>
      </c>
      <c r="B146" s="40">
        <f>B80+B145</f>
        <v>5.8</v>
      </c>
      <c r="C146" s="13" t="s">
        <v>49</v>
      </c>
      <c r="D146" s="48"/>
      <c r="E146" s="99"/>
    </row>
    <row r="147" spans="1:6" x14ac:dyDescent="0.25">
      <c r="A147" s="77" t="s">
        <v>73</v>
      </c>
      <c r="B147" s="40">
        <f>IF(B142=1,0.5,1)</f>
        <v>0.5</v>
      </c>
      <c r="C147" s="13" t="s">
        <v>49</v>
      </c>
      <c r="D147" s="194" t="s">
        <v>153</v>
      </c>
      <c r="E147" s="99"/>
    </row>
    <row r="148" spans="1:6" x14ac:dyDescent="0.25">
      <c r="A148" s="77" t="s">
        <v>75</v>
      </c>
      <c r="B148" s="515">
        <v>0.4</v>
      </c>
      <c r="C148" s="13" t="s">
        <v>49</v>
      </c>
      <c r="D148" s="48" t="s">
        <v>272</v>
      </c>
      <c r="E148" s="99"/>
    </row>
    <row r="149" spans="1:6" x14ac:dyDescent="0.25">
      <c r="A149" s="77" t="s">
        <v>104</v>
      </c>
      <c r="B149" s="40">
        <f>B146+B147-1</f>
        <v>5.3</v>
      </c>
      <c r="C149" s="13" t="s">
        <v>49</v>
      </c>
      <c r="D149" s="195" t="s">
        <v>600</v>
      </c>
      <c r="E149" s="99"/>
    </row>
    <row r="150" spans="1:6" ht="17.25" x14ac:dyDescent="0.25">
      <c r="A150" s="218" t="s">
        <v>76</v>
      </c>
      <c r="B150" s="210">
        <f>(B78+2*B148)*(B144*B79+(B144+1)*B148)</f>
        <v>144.47999999999999</v>
      </c>
      <c r="C150" s="227" t="s">
        <v>67</v>
      </c>
      <c r="D150" s="110"/>
      <c r="E150" s="226"/>
    </row>
    <row r="151" spans="1:6" ht="17.25" x14ac:dyDescent="0.25">
      <c r="A151" s="77" t="s">
        <v>77</v>
      </c>
      <c r="B151" s="15">
        <f>B150*B147</f>
        <v>72.239999999999995</v>
      </c>
      <c r="C151" s="13" t="s">
        <v>78</v>
      </c>
      <c r="D151" s="48"/>
      <c r="E151" s="99"/>
    </row>
    <row r="152" spans="1:6" ht="17.25" x14ac:dyDescent="0.25">
      <c r="A152" s="77" t="s">
        <v>79</v>
      </c>
      <c r="B152" s="15">
        <f>((B78+2*B148)*(B144+1)+B79*2*B144)*B148*B146</f>
        <v>132.24</v>
      </c>
      <c r="C152" s="13" t="s">
        <v>78</v>
      </c>
      <c r="D152" s="48"/>
      <c r="E152" s="99"/>
      <c r="F152" s="31"/>
    </row>
    <row r="153" spans="1:6" ht="17.25" x14ac:dyDescent="0.25">
      <c r="A153" s="77" t="s">
        <v>105</v>
      </c>
      <c r="B153" s="15">
        <f>+B151*0.1</f>
        <v>7.2240000000000002</v>
      </c>
      <c r="C153" s="13" t="s">
        <v>78</v>
      </c>
      <c r="D153" s="48"/>
      <c r="E153" s="99"/>
    </row>
    <row r="154" spans="1:6" x14ac:dyDescent="0.25">
      <c r="A154" s="77" t="s">
        <v>80</v>
      </c>
      <c r="B154" s="15">
        <f>+(B151+B152+B153)*120</f>
        <v>25404.48</v>
      </c>
      <c r="C154" s="13" t="s">
        <v>81</v>
      </c>
      <c r="D154" s="48" t="s">
        <v>597</v>
      </c>
      <c r="E154" s="99"/>
    </row>
    <row r="155" spans="1:6" ht="17.25" x14ac:dyDescent="0.25">
      <c r="A155" s="77" t="s">
        <v>125</v>
      </c>
      <c r="B155" s="15">
        <f>B77</f>
        <v>34.802672107127869</v>
      </c>
      <c r="C155" s="13" t="s">
        <v>78</v>
      </c>
      <c r="D155" s="48"/>
      <c r="E155" s="99"/>
    </row>
    <row r="156" spans="1:6" ht="17.25" x14ac:dyDescent="0.25">
      <c r="A156" s="77" t="s">
        <v>82</v>
      </c>
      <c r="B156" s="15">
        <f>(B78+3*B148+(B79+B148)*B144)*2*(B146+B147)+(B78+B79)*2*B144*B146</f>
        <v>681.95999999999992</v>
      </c>
      <c r="C156" s="82" t="s">
        <v>67</v>
      </c>
      <c r="D156" s="48"/>
      <c r="E156" s="99"/>
    </row>
    <row r="157" spans="1:6" ht="17.25" x14ac:dyDescent="0.25">
      <c r="A157" s="96" t="s">
        <v>106</v>
      </c>
      <c r="B157" s="105">
        <f>IF(B140=1,(B78+2*B148+2)*(B144*B79+(B144+1)*B148+2*2)*B149,(B78+2*B148+0.5)*(B144*B79+(B144+1)*B148+2*0.5)*B149)</f>
        <v>1168.5439999999999</v>
      </c>
      <c r="C157" s="87" t="s">
        <v>78</v>
      </c>
      <c r="D157" s="91"/>
      <c r="E157" s="101"/>
    </row>
    <row r="158" spans="1:6" x14ac:dyDescent="0.25">
      <c r="F158" s="32"/>
    </row>
    <row r="159" spans="1:6" ht="15.75" customHeight="1" x14ac:dyDescent="0.25">
      <c r="A159" s="103" t="s">
        <v>273</v>
      </c>
      <c r="B159" s="104" t="s">
        <v>17</v>
      </c>
      <c r="C159" s="159" t="s">
        <v>18</v>
      </c>
      <c r="D159" s="190" t="s">
        <v>114</v>
      </c>
      <c r="E159" s="145" t="s">
        <v>20</v>
      </c>
    </row>
    <row r="160" spans="1:6" x14ac:dyDescent="0.25">
      <c r="A160" s="599" t="s">
        <v>274</v>
      </c>
      <c r="B160" s="15">
        <f>B50</f>
        <v>2</v>
      </c>
      <c r="C160" s="13" t="s">
        <v>66</v>
      </c>
      <c r="D160" s="48"/>
      <c r="E160" s="99"/>
    </row>
    <row r="161" spans="1:5" x14ac:dyDescent="0.25">
      <c r="A161" s="570"/>
      <c r="B161" s="40">
        <f>ROUNDUP(IF(SQRT(B4/3600/B50)&lt;0.3,0.3,(B4/3600/B50)^0.5),1)</f>
        <v>0.3</v>
      </c>
      <c r="C161" s="13" t="s">
        <v>109</v>
      </c>
      <c r="D161" s="194" t="s">
        <v>74</v>
      </c>
      <c r="E161" s="60"/>
    </row>
    <row r="162" spans="1:5" x14ac:dyDescent="0.25">
      <c r="A162" s="600"/>
      <c r="B162" s="40">
        <f>+B161+B123</f>
        <v>0.8</v>
      </c>
      <c r="C162" s="13" t="s">
        <v>110</v>
      </c>
      <c r="D162" s="194" t="s">
        <v>108</v>
      </c>
      <c r="E162" s="99"/>
    </row>
    <row r="163" spans="1:5" x14ac:dyDescent="0.25">
      <c r="A163" s="574" t="s">
        <v>275</v>
      </c>
      <c r="B163" s="320">
        <f>IF(B16="Si",B50*2,0)</f>
        <v>4</v>
      </c>
      <c r="C163" s="321" t="s">
        <v>66</v>
      </c>
      <c r="D163" s="378" t="s">
        <v>276</v>
      </c>
      <c r="E163" s="322" t="s">
        <v>277</v>
      </c>
    </row>
    <row r="164" spans="1:5" x14ac:dyDescent="0.25">
      <c r="A164" s="575"/>
      <c r="B164" s="348">
        <f>IF(B16="No",0,(4*B50*B56*B57*B54/1000)/B163)</f>
        <v>0.13300000000000001</v>
      </c>
      <c r="C164" s="324" t="s">
        <v>117</v>
      </c>
      <c r="D164" s="325" t="s">
        <v>277</v>
      </c>
      <c r="E164" s="326" t="s">
        <v>277</v>
      </c>
    </row>
    <row r="165" spans="1:5" x14ac:dyDescent="0.25">
      <c r="A165" s="576" t="s">
        <v>278</v>
      </c>
      <c r="B165" s="94">
        <f>2*B50</f>
        <v>4</v>
      </c>
      <c r="C165" s="168" t="s">
        <v>66</v>
      </c>
      <c r="D165" s="379" t="s">
        <v>279</v>
      </c>
      <c r="E165" s="327" t="s">
        <v>277</v>
      </c>
    </row>
    <row r="166" spans="1:5" x14ac:dyDescent="0.25">
      <c r="A166" s="575"/>
      <c r="B166" s="323">
        <f>(4*B50*B56*B57*B55/1000)/B165</f>
        <v>0.217</v>
      </c>
      <c r="C166" s="168" t="s">
        <v>117</v>
      </c>
      <c r="D166" s="325" t="s">
        <v>277</v>
      </c>
      <c r="E166" s="326" t="s">
        <v>277</v>
      </c>
    </row>
    <row r="167" spans="1:5" x14ac:dyDescent="0.25">
      <c r="A167" s="567" t="s">
        <v>280</v>
      </c>
      <c r="B167" s="44">
        <f>2*B50</f>
        <v>4</v>
      </c>
      <c r="C167" s="45" t="s">
        <v>66</v>
      </c>
      <c r="D167" s="379" t="s">
        <v>279</v>
      </c>
      <c r="E167" s="90"/>
    </row>
    <row r="168" spans="1:5" x14ac:dyDescent="0.25">
      <c r="A168" s="567"/>
      <c r="B168" s="43">
        <f>(4*B49*0.15)/1000/B167</f>
        <v>0.14549558871327559</v>
      </c>
      <c r="C168" s="13" t="s">
        <v>117</v>
      </c>
      <c r="D168" s="76"/>
      <c r="E168" s="155"/>
    </row>
    <row r="169" spans="1:5" x14ac:dyDescent="0.25">
      <c r="A169" s="569" t="s">
        <v>281</v>
      </c>
      <c r="B169" s="44">
        <f>+B50+1</f>
        <v>3</v>
      </c>
      <c r="C169" s="45" t="s">
        <v>66</v>
      </c>
      <c r="D169" s="64" t="s">
        <v>282</v>
      </c>
      <c r="E169" s="90"/>
    </row>
    <row r="170" spans="1:5" ht="17.25" x14ac:dyDescent="0.25">
      <c r="A170" s="570"/>
      <c r="B170" s="15">
        <f>+B364/(B169-1)</f>
        <v>735.18335339284477</v>
      </c>
      <c r="C170" s="13" t="s">
        <v>127</v>
      </c>
      <c r="D170" s="48"/>
      <c r="E170" s="99"/>
    </row>
    <row r="171" spans="1:5" ht="17.25" customHeight="1" x14ac:dyDescent="0.25">
      <c r="A171" s="570"/>
      <c r="B171" s="42">
        <f>ROUNDUP(+B357/(B169-1),1)</f>
        <v>17.5</v>
      </c>
      <c r="C171" s="13" t="s">
        <v>593</v>
      </c>
      <c r="D171" s="48"/>
      <c r="E171" s="99"/>
    </row>
    <row r="172" spans="1:5" x14ac:dyDescent="0.25">
      <c r="A172" s="568" t="s">
        <v>283</v>
      </c>
      <c r="B172" s="528">
        <v>1</v>
      </c>
      <c r="C172" s="45" t="s">
        <v>284</v>
      </c>
      <c r="D172" s="64"/>
      <c r="E172" s="90"/>
    </row>
    <row r="173" spans="1:5" x14ac:dyDescent="0.25">
      <c r="A173" s="577"/>
      <c r="B173" s="15">
        <f>+B53</f>
        <v>14</v>
      </c>
      <c r="C173" s="13" t="s">
        <v>126</v>
      </c>
      <c r="D173" s="195" t="s">
        <v>285</v>
      </c>
      <c r="E173" s="99"/>
    </row>
    <row r="174" spans="1:5" x14ac:dyDescent="0.25">
      <c r="A174" s="577"/>
      <c r="B174" s="214">
        <f>((B169-1)*B170*4/3600/15/PI())^0.5*1000</f>
        <v>186.19628414269513</v>
      </c>
      <c r="C174" s="51" t="s">
        <v>286</v>
      </c>
      <c r="D174" s="247" t="s">
        <v>287</v>
      </c>
      <c r="E174" s="155"/>
    </row>
    <row r="175" spans="1:5" x14ac:dyDescent="0.25">
      <c r="A175" s="577"/>
      <c r="B175" s="44">
        <f>+B50</f>
        <v>2</v>
      </c>
      <c r="C175" s="222" t="s">
        <v>288</v>
      </c>
      <c r="D175" s="223"/>
      <c r="E175" s="90"/>
    </row>
    <row r="176" spans="1:5" x14ac:dyDescent="0.25">
      <c r="A176" s="577"/>
      <c r="B176" s="15">
        <f>+B173</f>
        <v>14</v>
      </c>
      <c r="C176" s="13" t="s">
        <v>126</v>
      </c>
      <c r="D176" s="195" t="s">
        <v>285</v>
      </c>
      <c r="E176" s="99"/>
    </row>
    <row r="177" spans="1:5" x14ac:dyDescent="0.25">
      <c r="A177" s="578"/>
      <c r="B177" s="214">
        <f>(B170*4/3600/15/PI())^0.5*1000</f>
        <v>131.66065514903693</v>
      </c>
      <c r="C177" s="51" t="s">
        <v>289</v>
      </c>
      <c r="D177" s="76" t="s">
        <v>290</v>
      </c>
      <c r="E177" s="155"/>
    </row>
    <row r="178" spans="1:5" ht="17.25" x14ac:dyDescent="0.25">
      <c r="A178" s="567" t="s">
        <v>291</v>
      </c>
      <c r="B178" s="529">
        <v>4</v>
      </c>
      <c r="C178" s="45" t="s">
        <v>30</v>
      </c>
      <c r="D178" s="64" t="s">
        <v>292</v>
      </c>
      <c r="E178" s="90"/>
    </row>
    <row r="179" spans="1:5" x14ac:dyDescent="0.25">
      <c r="A179" s="568"/>
      <c r="B179" s="42">
        <f>(INT(+B170/B178)+1)*(B169-1)</f>
        <v>368</v>
      </c>
      <c r="C179" s="13" t="s">
        <v>66</v>
      </c>
      <c r="D179" s="48"/>
      <c r="E179" s="99"/>
    </row>
    <row r="180" spans="1:5" x14ac:dyDescent="0.25">
      <c r="A180" s="569" t="s">
        <v>293</v>
      </c>
      <c r="B180" s="44">
        <f>B50+1</f>
        <v>3</v>
      </c>
      <c r="C180" s="45" t="s">
        <v>66</v>
      </c>
      <c r="D180" s="64" t="s">
        <v>282</v>
      </c>
      <c r="E180" s="90"/>
    </row>
    <row r="181" spans="1:5" ht="17.25" x14ac:dyDescent="0.25">
      <c r="A181" s="570"/>
      <c r="B181" s="42">
        <f>1*(B3*3/B50)</f>
        <v>55.000000000000007</v>
      </c>
      <c r="C181" s="13" t="s">
        <v>30</v>
      </c>
      <c r="D181" s="195" t="s">
        <v>294</v>
      </c>
      <c r="E181" s="99"/>
    </row>
    <row r="182" spans="1:5" x14ac:dyDescent="0.25">
      <c r="A182" s="570"/>
      <c r="B182" s="525">
        <v>0.5</v>
      </c>
      <c r="C182" s="13" t="s">
        <v>49</v>
      </c>
      <c r="D182" s="48"/>
      <c r="E182" s="99"/>
    </row>
    <row r="183" spans="1:5" ht="17.25" x14ac:dyDescent="0.25">
      <c r="A183" s="570"/>
      <c r="B183" s="57">
        <f>IF(B181&gt;30,1.05,IF(B181&lt;15,1.2,1.1))</f>
        <v>1.05</v>
      </c>
      <c r="C183" s="13" t="s">
        <v>128</v>
      </c>
      <c r="D183" s="158" t="s">
        <v>185</v>
      </c>
      <c r="E183" s="83"/>
    </row>
    <row r="184" spans="1:5" x14ac:dyDescent="0.25">
      <c r="A184" s="570"/>
      <c r="B184" s="42">
        <f>MAXA(ROUNDUP(9.8*B181/3600*B182/0.7*B183,1),0.5)</f>
        <v>0.5</v>
      </c>
      <c r="C184" s="13" t="s">
        <v>117</v>
      </c>
      <c r="D184" s="48"/>
      <c r="E184" s="99"/>
    </row>
    <row r="185" spans="1:5" x14ac:dyDescent="0.25">
      <c r="A185" s="382" t="s">
        <v>295</v>
      </c>
      <c r="B185" s="387">
        <f>B50</f>
        <v>2</v>
      </c>
      <c r="C185" s="45" t="s">
        <v>296</v>
      </c>
      <c r="D185" s="64"/>
      <c r="E185" s="90"/>
    </row>
    <row r="186" spans="1:5" ht="15.75" x14ac:dyDescent="0.25">
      <c r="A186" s="6" t="s">
        <v>186</v>
      </c>
      <c r="B186" s="7" t="s">
        <v>17</v>
      </c>
      <c r="C186" s="204" t="s">
        <v>18</v>
      </c>
      <c r="D186" s="8" t="s">
        <v>114</v>
      </c>
      <c r="E186" s="9" t="s">
        <v>20</v>
      </c>
    </row>
    <row r="187" spans="1:5" x14ac:dyDescent="0.25">
      <c r="A187" s="571" t="s">
        <v>297</v>
      </c>
      <c r="B187" s="15">
        <f>2*B73-1</f>
        <v>3</v>
      </c>
      <c r="C187" s="13" t="s">
        <v>66</v>
      </c>
      <c r="D187" s="48"/>
      <c r="E187" s="14"/>
    </row>
    <row r="188" spans="1:5" x14ac:dyDescent="0.25">
      <c r="A188" s="571"/>
      <c r="B188" s="40">
        <f>IF(ROUNDUP(SQRT((B4+(B192-1)*B193)/3600/B73),1)&gt;=0.3,ROUNDUP(SQRT((B4+(B192-1)*B193)/3600/B73),1),0.3)</f>
        <v>0.3</v>
      </c>
      <c r="C188" s="13" t="s">
        <v>109</v>
      </c>
      <c r="D188" s="194" t="s">
        <v>74</v>
      </c>
      <c r="E188" s="60"/>
    </row>
    <row r="189" spans="1:5" x14ac:dyDescent="0.25">
      <c r="A189" s="571"/>
      <c r="B189" s="40">
        <f>+B188</f>
        <v>0.3</v>
      </c>
      <c r="C189" s="13" t="s">
        <v>110</v>
      </c>
      <c r="D189" s="194" t="s">
        <v>108</v>
      </c>
      <c r="E189" s="14"/>
    </row>
    <row r="190" spans="1:5" x14ac:dyDescent="0.25">
      <c r="A190" s="572" t="s">
        <v>298</v>
      </c>
      <c r="B190" s="328">
        <f>2*B73-1</f>
        <v>3</v>
      </c>
      <c r="C190" s="274" t="s">
        <v>66</v>
      </c>
      <c r="D190" s="64"/>
      <c r="E190" s="75"/>
    </row>
    <row r="191" spans="1:5" x14ac:dyDescent="0.25">
      <c r="A191" s="573"/>
      <c r="B191" s="187">
        <f>ROUNDUP(SQRT(B193*4/3600/PI()),1)</f>
        <v>0.2</v>
      </c>
      <c r="C191" s="16" t="s">
        <v>107</v>
      </c>
      <c r="D191" s="194" t="s">
        <v>108</v>
      </c>
      <c r="E191" s="14"/>
    </row>
    <row r="192" spans="1:5" x14ac:dyDescent="0.25">
      <c r="A192" s="587" t="s">
        <v>299</v>
      </c>
      <c r="B192" s="15">
        <f>B50+1</f>
        <v>3</v>
      </c>
      <c r="C192" s="64" t="s">
        <v>66</v>
      </c>
      <c r="D192" s="307" t="s">
        <v>300</v>
      </c>
      <c r="E192" s="170"/>
    </row>
    <row r="193" spans="1:5" ht="17.25" x14ac:dyDescent="0.25">
      <c r="A193" s="560"/>
      <c r="B193" s="31">
        <f>MAXA(2*B3/(B192-1),((ROUNDUP((1/(B94*10000/B41-1)*B3/(B192-1)/10)+1,1))))</f>
        <v>36.666666666666671</v>
      </c>
      <c r="C193" s="13" t="s">
        <v>30</v>
      </c>
      <c r="D193" s="202" t="s">
        <v>301</v>
      </c>
      <c r="E193" s="26"/>
    </row>
    <row r="194" spans="1:5" x14ac:dyDescent="0.25">
      <c r="A194" s="560"/>
      <c r="B194" s="525">
        <v>3</v>
      </c>
      <c r="C194" s="13" t="s">
        <v>49</v>
      </c>
      <c r="D194" s="94" t="s">
        <v>302</v>
      </c>
      <c r="E194" s="26"/>
    </row>
    <row r="195" spans="1:5" ht="17.25" x14ac:dyDescent="0.25">
      <c r="A195" s="560"/>
      <c r="B195" s="57">
        <f>IF(B193&gt;30,1.05,IF(B193&lt;15,1.2,1.1))</f>
        <v>1.05</v>
      </c>
      <c r="C195" s="13" t="s">
        <v>128</v>
      </c>
      <c r="D195" s="158" t="s">
        <v>185</v>
      </c>
      <c r="E195" s="26"/>
    </row>
    <row r="196" spans="1:5" x14ac:dyDescent="0.25">
      <c r="A196" s="596"/>
      <c r="B196" s="42">
        <f>MAXA(ROUNDUP(9.8*B193/3600*B194/0.7*B195,1),0.5)</f>
        <v>0.5</v>
      </c>
      <c r="C196" s="13" t="s">
        <v>117</v>
      </c>
      <c r="D196" s="51"/>
      <c r="E196" s="52"/>
    </row>
    <row r="197" spans="1:5" x14ac:dyDescent="0.25">
      <c r="A197" s="587" t="s">
        <v>187</v>
      </c>
      <c r="B197" s="530">
        <v>2</v>
      </c>
      <c r="C197" s="64" t="s">
        <v>66</v>
      </c>
      <c r="D197" s="307" t="s">
        <v>188</v>
      </c>
      <c r="E197" s="170"/>
    </row>
    <row r="198" spans="1:5" ht="17.25" x14ac:dyDescent="0.25">
      <c r="A198" s="560"/>
      <c r="B198" s="164">
        <f>+B95/12</f>
        <v>2.4405459727803884</v>
      </c>
      <c r="C198" s="13" t="s">
        <v>30</v>
      </c>
      <c r="D198" s="13"/>
      <c r="E198" s="26"/>
    </row>
    <row r="199" spans="1:5" x14ac:dyDescent="0.25">
      <c r="A199" s="560"/>
      <c r="B199" s="525">
        <v>0.5</v>
      </c>
      <c r="C199" s="13" t="s">
        <v>49</v>
      </c>
      <c r="D199" s="13"/>
      <c r="E199" s="26"/>
    </row>
    <row r="200" spans="1:5" ht="17.25" x14ac:dyDescent="0.25">
      <c r="A200" s="560"/>
      <c r="B200" s="57">
        <f>IF(B198&gt;30,1.05,IF(B198&lt;15,1.2,1.1))</f>
        <v>1.2</v>
      </c>
      <c r="C200" s="13" t="s">
        <v>128</v>
      </c>
      <c r="D200" s="158" t="s">
        <v>185</v>
      </c>
      <c r="E200" s="26"/>
    </row>
    <row r="201" spans="1:5" x14ac:dyDescent="0.25">
      <c r="A201" s="566"/>
      <c r="B201" s="47">
        <f>MAXA(ROUNDUP(9.8*B198/3600*B199/0.7*B200,1),0.5)</f>
        <v>0.5</v>
      </c>
      <c r="C201" s="19" t="s">
        <v>117</v>
      </c>
      <c r="D201" s="19"/>
      <c r="E201" s="27"/>
    </row>
    <row r="203" spans="1:5" ht="15.75" customHeight="1" x14ac:dyDescent="0.25">
      <c r="A203" s="116" t="s">
        <v>83</v>
      </c>
      <c r="B203" s="114"/>
    </row>
    <row r="204" spans="1:5" ht="15.75" x14ac:dyDescent="0.25">
      <c r="A204" s="89" t="s">
        <v>303</v>
      </c>
      <c r="B204" s="124" t="s">
        <v>84</v>
      </c>
      <c r="C204" s="204" t="s">
        <v>85</v>
      </c>
      <c r="D204" s="124" t="s">
        <v>86</v>
      </c>
      <c r="E204" s="133" t="s">
        <v>20</v>
      </c>
    </row>
    <row r="205" spans="1:5" x14ac:dyDescent="0.25">
      <c r="A205" s="137" t="s">
        <v>77</v>
      </c>
      <c r="B205" s="92">
        <f>+B131</f>
        <v>116.25</v>
      </c>
      <c r="C205" s="68">
        <f>VLOOKUP($A205,'PRECIOS OC (REF)'!$A$1:$D$16,4,FALSE)</f>
        <v>89.06</v>
      </c>
      <c r="D205" s="122">
        <f>+B205*$C$205</f>
        <v>10353.225</v>
      </c>
      <c r="E205" s="185"/>
    </row>
    <row r="206" spans="1:5" x14ac:dyDescent="0.25">
      <c r="A206" s="77" t="s">
        <v>79</v>
      </c>
      <c r="B206" s="15">
        <f>+B132+B133</f>
        <v>253.25</v>
      </c>
      <c r="C206" s="68">
        <f>VLOOKUP($A206,'PRECIOS OC (REF)'!$A$1:$D$16,4,FALSE)</f>
        <v>93.56</v>
      </c>
      <c r="D206" s="40">
        <f>+B206*$C$206</f>
        <v>23694.07</v>
      </c>
      <c r="E206" s="99"/>
    </row>
    <row r="207" spans="1:5" x14ac:dyDescent="0.25">
      <c r="A207" s="77" t="s">
        <v>105</v>
      </c>
      <c r="B207" s="15">
        <f>B134</f>
        <v>11.625</v>
      </c>
      <c r="C207" s="68">
        <f>VLOOKUP($A207,'PRECIOS OC (REF)'!$A$1:$D$16,4,FALSE)</f>
        <v>93.56</v>
      </c>
      <c r="D207" s="40">
        <f>+B207*$C$207</f>
        <v>1087.635</v>
      </c>
      <c r="E207" s="99"/>
    </row>
    <row r="208" spans="1:5" x14ac:dyDescent="0.25">
      <c r="A208" s="77" t="s">
        <v>80</v>
      </c>
      <c r="B208" s="15">
        <f>B135</f>
        <v>44685</v>
      </c>
      <c r="C208" s="68">
        <f>VLOOKUP($A208,'PRECIOS OC (REF)'!$A$1:$D$16,4,FALSE)</f>
        <v>1.86</v>
      </c>
      <c r="D208" s="40">
        <f>+B208*$C$208</f>
        <v>83114.100000000006</v>
      </c>
      <c r="E208" s="99"/>
    </row>
    <row r="209" spans="1:5" x14ac:dyDescent="0.25">
      <c r="A209" s="77" t="s">
        <v>82</v>
      </c>
      <c r="B209" s="15">
        <f>B136</f>
        <v>1248</v>
      </c>
      <c r="C209" s="68">
        <f>VLOOKUP($A209,'PRECIOS OC (REF)'!$A$1:$D$16,4,FALSE)</f>
        <v>23.96</v>
      </c>
      <c r="D209" s="40">
        <f>+B209*$C$209</f>
        <v>29902.080000000002</v>
      </c>
      <c r="E209" s="99"/>
    </row>
    <row r="210" spans="1:5" x14ac:dyDescent="0.25">
      <c r="A210" s="77" t="str">
        <f>IF(B140=2,"Excavación roca",IF(B142=1,"Excavación tierra","Excavación tierra NF"))</f>
        <v>Excavación tierra</v>
      </c>
      <c r="B210" s="15">
        <f>B137</f>
        <v>1487.5</v>
      </c>
      <c r="C210" s="68">
        <f>VLOOKUP($A210,'PRECIOS OC (REF)'!$A$1:$D$16,4,FALSE)</f>
        <v>34.61</v>
      </c>
      <c r="D210" s="40">
        <f>+B210*$C$210</f>
        <v>51482.375</v>
      </c>
      <c r="E210" s="99"/>
    </row>
    <row r="211" spans="1:5" x14ac:dyDescent="0.25">
      <c r="A211" s="77" t="s">
        <v>87</v>
      </c>
      <c r="B211" s="15">
        <v>1</v>
      </c>
      <c r="C211" s="531">
        <v>0.1</v>
      </c>
      <c r="D211" s="40">
        <f>SUM(D205:D209)*$C$211</f>
        <v>14815.110999999999</v>
      </c>
      <c r="E211" s="99"/>
    </row>
    <row r="212" spans="1:5" x14ac:dyDescent="0.25">
      <c r="A212" s="167" t="s">
        <v>304</v>
      </c>
      <c r="B212" s="31">
        <f>+B138</f>
        <v>30</v>
      </c>
      <c r="C212" s="224">
        <f>VLOOKUP($A212,'PRECIOS OC (REF)'!$A$1:$D$16,4,FALSE)</f>
        <v>300</v>
      </c>
      <c r="D212" s="32">
        <f>+B212*$C$212</f>
        <v>9000</v>
      </c>
      <c r="E212" s="78"/>
    </row>
    <row r="213" spans="1:5" x14ac:dyDescent="0.25">
      <c r="A213" s="233" t="s">
        <v>305</v>
      </c>
      <c r="B213" s="234"/>
      <c r="C213" s="234"/>
      <c r="D213" s="235">
        <f>SUM(D205:D212)</f>
        <v>223448.59599999999</v>
      </c>
      <c r="E213" s="236"/>
    </row>
    <row r="214" spans="1:5" ht="15.75" x14ac:dyDescent="0.25">
      <c r="A214" s="86" t="s">
        <v>189</v>
      </c>
      <c r="B214" s="231" t="s">
        <v>84</v>
      </c>
      <c r="C214" s="204" t="s">
        <v>85</v>
      </c>
      <c r="D214" s="231" t="s">
        <v>86</v>
      </c>
      <c r="E214" s="232" t="s">
        <v>20</v>
      </c>
    </row>
    <row r="215" spans="1:5" x14ac:dyDescent="0.25">
      <c r="A215" s="30" t="s">
        <v>77</v>
      </c>
      <c r="B215" s="15">
        <f>B151</f>
        <v>72.239999999999995</v>
      </c>
      <c r="C215" s="68">
        <f>VLOOKUP($A215,'PRECIOS OC (REF)'!$A$1:$D$16,4,FALSE)</f>
        <v>89.06</v>
      </c>
      <c r="D215" s="40">
        <f>+B215*$C$215</f>
        <v>6433.6943999999994</v>
      </c>
      <c r="E215" s="14"/>
    </row>
    <row r="216" spans="1:5" x14ac:dyDescent="0.25">
      <c r="A216" s="30" t="s">
        <v>79</v>
      </c>
      <c r="B216" s="15">
        <f>B152</f>
        <v>132.24</v>
      </c>
      <c r="C216" s="68">
        <f>VLOOKUP($A216,'PRECIOS OC (REF)'!$A$1:$D$16,4,FALSE)</f>
        <v>93.56</v>
      </c>
      <c r="D216" s="40">
        <f>+B216*$C$216</f>
        <v>12372.374400000001</v>
      </c>
      <c r="E216" s="14"/>
    </row>
    <row r="217" spans="1:5" x14ac:dyDescent="0.25">
      <c r="A217" s="30" t="s">
        <v>105</v>
      </c>
      <c r="B217" s="15">
        <f>B153</f>
        <v>7.2240000000000002</v>
      </c>
      <c r="C217" s="68">
        <f>VLOOKUP($A217,'PRECIOS OC (REF)'!$A$1:$D$16,4,FALSE)</f>
        <v>93.56</v>
      </c>
      <c r="D217" s="40">
        <f>+B217*$C$217</f>
        <v>675.87743999999998</v>
      </c>
      <c r="E217" s="14"/>
    </row>
    <row r="218" spans="1:5" x14ac:dyDescent="0.25">
      <c r="A218" s="30" t="s">
        <v>80</v>
      </c>
      <c r="B218" s="15">
        <f>B154</f>
        <v>25404.48</v>
      </c>
      <c r="C218" s="68">
        <f>VLOOKUP($A218,'PRECIOS OC (REF)'!$A$1:$D$16,4,FALSE)</f>
        <v>1.86</v>
      </c>
      <c r="D218" s="40">
        <f>+B218*$C$218</f>
        <v>47252.332800000004</v>
      </c>
      <c r="E218" s="14"/>
    </row>
    <row r="219" spans="1:5" x14ac:dyDescent="0.25">
      <c r="A219" s="30" t="s">
        <v>82</v>
      </c>
      <c r="B219" s="15">
        <f>B156</f>
        <v>681.95999999999992</v>
      </c>
      <c r="C219" s="68">
        <f>VLOOKUP($A219,'PRECIOS OC (REF)'!$A$1:$D$16,4,FALSE)</f>
        <v>23.96</v>
      </c>
      <c r="D219" s="40">
        <f>+B219*$C$219</f>
        <v>16339.761599999998</v>
      </c>
      <c r="E219" s="14"/>
    </row>
    <row r="220" spans="1:5" x14ac:dyDescent="0.25">
      <c r="A220" s="77" t="str">
        <f>IF(B140=2,"Excavación roca",IF(B142=1,"Excavación tierra","Excavación tierra NF"))</f>
        <v>Excavación tierra</v>
      </c>
      <c r="B220" s="15">
        <f>B157</f>
        <v>1168.5439999999999</v>
      </c>
      <c r="C220" s="68">
        <f>VLOOKUP($A220,'PRECIOS OC (REF)'!$A$1:$D$16,4,FALSE)</f>
        <v>34.61</v>
      </c>
      <c r="D220" s="40">
        <f>+B220*$C$220</f>
        <v>40443.307839999994</v>
      </c>
      <c r="E220" s="14"/>
    </row>
    <row r="221" spans="1:5" x14ac:dyDescent="0.25">
      <c r="A221" s="30" t="s">
        <v>87</v>
      </c>
      <c r="B221" s="69">
        <v>1</v>
      </c>
      <c r="C221" s="510">
        <v>0.1</v>
      </c>
      <c r="D221" s="230">
        <f>SUM(D215:D219)*$C$221</f>
        <v>8307.4040640000003</v>
      </c>
      <c r="E221" s="14"/>
    </row>
    <row r="222" spans="1:5" x14ac:dyDescent="0.25">
      <c r="A222" s="221" t="s">
        <v>190</v>
      </c>
      <c r="B222" s="120"/>
      <c r="C222" s="120"/>
      <c r="D222" s="237">
        <f>SUM(D215:D221)</f>
        <v>131824.75254399999</v>
      </c>
      <c r="E222" s="209"/>
    </row>
    <row r="223" spans="1:5" ht="15.75" x14ac:dyDescent="0.25">
      <c r="A223" s="103" t="s">
        <v>273</v>
      </c>
      <c r="B223" s="159" t="s">
        <v>88</v>
      </c>
      <c r="C223" s="204" t="s">
        <v>85</v>
      </c>
      <c r="D223" s="159" t="s">
        <v>89</v>
      </c>
      <c r="E223" s="329" t="s">
        <v>20</v>
      </c>
    </row>
    <row r="224" spans="1:5" x14ac:dyDescent="0.25">
      <c r="A224" s="30" t="str">
        <f>A160</f>
        <v>Compuerta canal entrada reactor</v>
      </c>
      <c r="B224" s="15">
        <f>+B160</f>
        <v>2</v>
      </c>
      <c r="C224" s="515">
        <v>500</v>
      </c>
      <c r="D224" s="40">
        <f>+B224*$C$224</f>
        <v>1000</v>
      </c>
      <c r="E224" s="14"/>
    </row>
    <row r="225" spans="1:7" x14ac:dyDescent="0.25">
      <c r="A225" s="30" t="str">
        <f>A163</f>
        <v>Agitadores zona anaerobia</v>
      </c>
      <c r="B225" s="15">
        <f>B163</f>
        <v>4</v>
      </c>
      <c r="C225" s="515">
        <v>3500</v>
      </c>
      <c r="D225" s="40">
        <f>+B225*$C$225</f>
        <v>14000</v>
      </c>
      <c r="E225" s="14"/>
    </row>
    <row r="226" spans="1:7" x14ac:dyDescent="0.25">
      <c r="A226" s="30" t="str">
        <f>A165</f>
        <v>Agitadores zona anóxica</v>
      </c>
      <c r="B226" s="15">
        <f>B165</f>
        <v>4</v>
      </c>
      <c r="C226" s="515">
        <v>3500</v>
      </c>
      <c r="D226" s="40">
        <f>+B226*$C$226</f>
        <v>14000</v>
      </c>
      <c r="E226" s="14"/>
    </row>
    <row r="227" spans="1:7" x14ac:dyDescent="0.25">
      <c r="A227" s="30" t="str">
        <f>+A167</f>
        <v>Agitadores zona facultativa</v>
      </c>
      <c r="B227" s="15">
        <f>+B167</f>
        <v>4</v>
      </c>
      <c r="C227" s="515">
        <v>3500</v>
      </c>
      <c r="D227" s="40">
        <f>+B227*$C$227</f>
        <v>14000</v>
      </c>
      <c r="E227" s="14"/>
    </row>
    <row r="228" spans="1:7" x14ac:dyDescent="0.25">
      <c r="A228" s="30" t="str">
        <f>+A169</f>
        <v>Soplantes</v>
      </c>
      <c r="B228" s="15">
        <f>+B169</f>
        <v>3</v>
      </c>
      <c r="C228" s="515">
        <v>2200</v>
      </c>
      <c r="D228" s="40">
        <f>+B228*$C$228</f>
        <v>6600</v>
      </c>
      <c r="E228" s="14"/>
    </row>
    <row r="229" spans="1:7" x14ac:dyDescent="0.25">
      <c r="A229" s="30" t="s">
        <v>306</v>
      </c>
      <c r="B229" s="15">
        <f>+B172*B173</f>
        <v>14</v>
      </c>
      <c r="C229" s="515">
        <v>180</v>
      </c>
      <c r="D229" s="40">
        <f>+B229*$C$229</f>
        <v>2520</v>
      </c>
      <c r="E229" s="14"/>
    </row>
    <row r="230" spans="1:7" x14ac:dyDescent="0.25">
      <c r="A230" s="30" t="s">
        <v>306</v>
      </c>
      <c r="B230" s="15">
        <f>+B175*B176</f>
        <v>28</v>
      </c>
      <c r="C230" s="515">
        <v>150</v>
      </c>
      <c r="D230" s="40">
        <f>+B230*$C$230</f>
        <v>4200</v>
      </c>
      <c r="E230" s="14"/>
    </row>
    <row r="231" spans="1:7" x14ac:dyDescent="0.25">
      <c r="A231" s="30" t="s">
        <v>291</v>
      </c>
      <c r="B231" s="15">
        <f>+B179</f>
        <v>368</v>
      </c>
      <c r="C231" s="515">
        <v>60</v>
      </c>
      <c r="D231" s="40">
        <f>+B231*$C$231</f>
        <v>22080</v>
      </c>
      <c r="E231" s="14"/>
    </row>
    <row r="232" spans="1:7" x14ac:dyDescent="0.25">
      <c r="A232" s="30" t="str">
        <f>+A180</f>
        <v>Bombas de recirculación interna</v>
      </c>
      <c r="B232" s="15">
        <f>+B180</f>
        <v>3</v>
      </c>
      <c r="C232" s="515">
        <v>1100</v>
      </c>
      <c r="D232" s="40">
        <f>+B232*$C$232</f>
        <v>3300</v>
      </c>
      <c r="E232" s="14"/>
    </row>
    <row r="233" spans="1:7" x14ac:dyDescent="0.25">
      <c r="A233" s="77" t="s">
        <v>295</v>
      </c>
      <c r="B233" s="12">
        <v>1</v>
      </c>
      <c r="C233" s="515">
        <v>20000</v>
      </c>
      <c r="D233" s="40">
        <f>+B233*$C$233</f>
        <v>20000</v>
      </c>
      <c r="E233" s="99"/>
    </row>
    <row r="234" spans="1:7" x14ac:dyDescent="0.25">
      <c r="A234" s="81" t="s">
        <v>90</v>
      </c>
      <c r="B234" s="169"/>
      <c r="C234" s="532">
        <v>0.25</v>
      </c>
      <c r="D234" s="144">
        <f>$C$234*(SUM(D225:D228)+SUM(D232))</f>
        <v>12975</v>
      </c>
      <c r="E234" s="83"/>
      <c r="F234" s="193"/>
      <c r="G234" s="441"/>
    </row>
    <row r="235" spans="1:7" x14ac:dyDescent="0.25">
      <c r="A235" s="221" t="s">
        <v>307</v>
      </c>
      <c r="B235" s="120"/>
      <c r="C235" s="120"/>
      <c r="D235" s="237">
        <f>SUM(D224:D234)</f>
        <v>114675</v>
      </c>
      <c r="E235" s="209"/>
      <c r="F235" s="193"/>
      <c r="G235" s="441"/>
    </row>
    <row r="236" spans="1:7" ht="15.75" x14ac:dyDescent="0.25">
      <c r="A236" s="89" t="s">
        <v>186</v>
      </c>
      <c r="B236" s="142" t="s">
        <v>88</v>
      </c>
      <c r="C236" s="204" t="s">
        <v>85</v>
      </c>
      <c r="D236" s="142" t="s">
        <v>89</v>
      </c>
      <c r="E236" s="161" t="s">
        <v>20</v>
      </c>
    </row>
    <row r="237" spans="1:7" x14ac:dyDescent="0.25">
      <c r="A237" s="137" t="str">
        <f>+A187</f>
        <v>Compuerta mural entrada decantador</v>
      </c>
      <c r="B237" s="92">
        <f>+B187</f>
        <v>3</v>
      </c>
      <c r="C237" s="533">
        <v>650</v>
      </c>
      <c r="D237" s="122">
        <f>+B237*$C$237</f>
        <v>1950</v>
      </c>
      <c r="E237" s="185"/>
    </row>
    <row r="238" spans="1:7" x14ac:dyDescent="0.25">
      <c r="A238" s="77" t="str">
        <f>+A190</f>
        <v>Válvulas recirculación externa</v>
      </c>
      <c r="B238" s="15">
        <f>+B190</f>
        <v>3</v>
      </c>
      <c r="C238" s="515">
        <v>534</v>
      </c>
      <c r="D238" s="40">
        <f>+B238*$C$238</f>
        <v>1602</v>
      </c>
      <c r="E238" s="99"/>
    </row>
    <row r="239" spans="1:7" x14ac:dyDescent="0.25">
      <c r="A239" s="77" t="str">
        <f>+A192</f>
        <v>Bombas de recirculación externa</v>
      </c>
      <c r="B239" s="15">
        <f>B192</f>
        <v>3</v>
      </c>
      <c r="C239" s="515">
        <v>1025</v>
      </c>
      <c r="D239" s="40">
        <f>+B239*$C$239</f>
        <v>3075</v>
      </c>
      <c r="E239" s="99"/>
      <c r="F239" s="109"/>
      <c r="G239" s="442"/>
    </row>
    <row r="240" spans="1:7" x14ac:dyDescent="0.25">
      <c r="A240" s="77" t="s">
        <v>187</v>
      </c>
      <c r="B240" s="15">
        <f>B197</f>
        <v>2</v>
      </c>
      <c r="C240" s="515">
        <v>995</v>
      </c>
      <c r="D240" s="40">
        <f>+B240*$C$240</f>
        <v>1990</v>
      </c>
      <c r="E240" s="99"/>
      <c r="F240" s="193"/>
      <c r="G240" s="441"/>
    </row>
    <row r="241" spans="1:7" x14ac:dyDescent="0.25">
      <c r="A241" s="81" t="s">
        <v>90</v>
      </c>
      <c r="B241" s="169"/>
      <c r="C241" s="532">
        <v>0.25</v>
      </c>
      <c r="D241" s="144">
        <f>$C$241*(D239+D240)</f>
        <v>1266.25</v>
      </c>
      <c r="E241" s="83"/>
      <c r="F241" s="193"/>
      <c r="G241" s="441"/>
    </row>
    <row r="242" spans="1:7" x14ac:dyDescent="0.25">
      <c r="A242" s="220" t="s">
        <v>191</v>
      </c>
      <c r="B242" s="120"/>
      <c r="C242" s="310"/>
      <c r="D242" s="235">
        <f>SUM(D237:D241)</f>
        <v>9883.25</v>
      </c>
      <c r="E242" s="236"/>
      <c r="F242" s="193"/>
      <c r="G242" s="441"/>
    </row>
    <row r="243" spans="1:7" ht="15.75" x14ac:dyDescent="0.25">
      <c r="A243" s="312" t="s">
        <v>91</v>
      </c>
      <c r="B243" s="160"/>
    </row>
    <row r="244" spans="1:7" ht="15.75" x14ac:dyDescent="0.25">
      <c r="A244" s="313" t="s">
        <v>92</v>
      </c>
      <c r="B244" s="314">
        <f>D213+D222+D235+D242</f>
        <v>479831.59854399995</v>
      </c>
    </row>
    <row r="245" spans="1:7" ht="15.75" x14ac:dyDescent="0.25">
      <c r="B245" s="311"/>
    </row>
    <row r="246" spans="1:7" x14ac:dyDescent="0.25">
      <c r="A246" s="175" t="s">
        <v>93</v>
      </c>
    </row>
    <row r="247" spans="1:7" x14ac:dyDescent="0.25">
      <c r="A247" s="70" t="s">
        <v>308</v>
      </c>
    </row>
    <row r="248" spans="1:7" x14ac:dyDescent="0.25">
      <c r="A248" s="176" t="s">
        <v>309</v>
      </c>
    </row>
    <row r="249" spans="1:7" x14ac:dyDescent="0.25">
      <c r="A249" s="468" t="s">
        <v>582</v>
      </c>
    </row>
    <row r="250" spans="1:7" x14ac:dyDescent="0.25">
      <c r="A250" s="254" t="s">
        <v>583</v>
      </c>
    </row>
    <row r="251" spans="1:7" x14ac:dyDescent="0.25">
      <c r="A251" s="70" t="s">
        <v>310</v>
      </c>
    </row>
    <row r="252" spans="1:7" x14ac:dyDescent="0.25">
      <c r="A252" s="469" t="s">
        <v>584</v>
      </c>
    </row>
    <row r="254" spans="1:7" x14ac:dyDescent="0.25">
      <c r="A254" s="152" t="s">
        <v>111</v>
      </c>
    </row>
    <row r="255" spans="1:7" x14ac:dyDescent="0.25">
      <c r="A255" s="70" t="s">
        <v>594</v>
      </c>
    </row>
    <row r="256" spans="1:7" x14ac:dyDescent="0.25">
      <c r="A256" s="70" t="s">
        <v>595</v>
      </c>
    </row>
    <row r="257" spans="1:10" x14ac:dyDescent="0.25">
      <c r="A257" s="70" t="s">
        <v>585</v>
      </c>
      <c r="G257"/>
      <c r="H257"/>
      <c r="I257"/>
      <c r="J257"/>
    </row>
    <row r="258" spans="1:10" x14ac:dyDescent="0.25">
      <c r="A258" s="70" t="s">
        <v>311</v>
      </c>
    </row>
    <row r="259" spans="1:10" x14ac:dyDescent="0.25">
      <c r="A259" s="70" t="s">
        <v>312</v>
      </c>
    </row>
    <row r="260" spans="1:10" ht="17.25" x14ac:dyDescent="0.25">
      <c r="A260" s="70" t="s">
        <v>596</v>
      </c>
    </row>
    <row r="261" spans="1:10" x14ac:dyDescent="0.25">
      <c r="A261" s="70" t="s">
        <v>113</v>
      </c>
    </row>
    <row r="263" spans="1:10" x14ac:dyDescent="0.25">
      <c r="A263" s="152" t="s">
        <v>112</v>
      </c>
    </row>
    <row r="264" spans="1:10" x14ac:dyDescent="0.25">
      <c r="A264" s="70" t="s">
        <v>313</v>
      </c>
    </row>
    <row r="265" spans="1:10" x14ac:dyDescent="0.25">
      <c r="A265" s="70" t="s">
        <v>580</v>
      </c>
    </row>
    <row r="266" spans="1:10" ht="17.25" x14ac:dyDescent="0.25">
      <c r="A266" s="70" t="s">
        <v>155</v>
      </c>
    </row>
    <row r="267" spans="1:10" x14ac:dyDescent="0.25">
      <c r="A267" s="70" t="s">
        <v>598</v>
      </c>
    </row>
    <row r="268" spans="1:10" x14ac:dyDescent="0.25">
      <c r="A268" s="70" t="s">
        <v>599</v>
      </c>
    </row>
    <row r="269" spans="1:10" ht="17.25" x14ac:dyDescent="0.25">
      <c r="A269" s="70" t="s">
        <v>314</v>
      </c>
    </row>
    <row r="270" spans="1:10" x14ac:dyDescent="0.25">
      <c r="A270" s="70"/>
    </row>
    <row r="271" spans="1:10" x14ac:dyDescent="0.25">
      <c r="A271" s="480" t="s">
        <v>604</v>
      </c>
    </row>
    <row r="272" spans="1:10" ht="15.75" thickBot="1" x14ac:dyDescent="0.3">
      <c r="A272" s="59"/>
      <c r="B272" s="448"/>
      <c r="C272" s="448"/>
      <c r="D272" s="59"/>
    </row>
    <row r="273" spans="1:4" x14ac:dyDescent="0.25">
      <c r="A273" s="592" t="s">
        <v>206</v>
      </c>
      <c r="B273" s="452" t="s">
        <v>157</v>
      </c>
      <c r="C273" s="447" t="s">
        <v>207</v>
      </c>
      <c r="D273" s="594" t="s">
        <v>208</v>
      </c>
    </row>
    <row r="274" spans="1:4" ht="15.75" thickBot="1" x14ac:dyDescent="0.3">
      <c r="A274" s="593"/>
      <c r="B274" s="453" t="s">
        <v>209</v>
      </c>
      <c r="C274" s="451" t="s">
        <v>210</v>
      </c>
      <c r="D274" s="595"/>
    </row>
    <row r="275" spans="1:4" x14ac:dyDescent="0.25">
      <c r="A275" s="360">
        <v>11</v>
      </c>
      <c r="B275" s="449">
        <v>20</v>
      </c>
      <c r="C275" s="450">
        <v>25</v>
      </c>
      <c r="D275" s="454">
        <f>C275-B275</f>
        <v>5</v>
      </c>
    </row>
    <row r="276" spans="1:4" x14ac:dyDescent="0.25">
      <c r="A276" s="360">
        <v>12</v>
      </c>
      <c r="B276" s="445">
        <f>20*1.072^(12-A276)</f>
        <v>20</v>
      </c>
      <c r="C276" s="444">
        <f>25*1.072^(12-A276)</f>
        <v>25</v>
      </c>
      <c r="D276" s="455">
        <f t="shared" ref="D276:D282" si="0">C276-B276</f>
        <v>5</v>
      </c>
    </row>
    <row r="277" spans="1:4" x14ac:dyDescent="0.25">
      <c r="A277" s="361">
        <v>13</v>
      </c>
      <c r="B277" s="445">
        <f>20*1.072^(12-A277)</f>
        <v>18.656716417910445</v>
      </c>
      <c r="C277" s="444">
        <f>25*1.072^(12-A277)</f>
        <v>23.320895522388057</v>
      </c>
      <c r="D277" s="455">
        <f t="shared" si="0"/>
        <v>4.6641791044776113</v>
      </c>
    </row>
    <row r="278" spans="1:4" x14ac:dyDescent="0.25">
      <c r="A278" s="361">
        <v>14</v>
      </c>
      <c r="B278" s="445">
        <f t="shared" ref="B278:B281" si="1">20*1.072^(12-A278)</f>
        <v>17.403653374916459</v>
      </c>
      <c r="C278" s="444">
        <f t="shared" ref="C278:C280" si="2">25*1.072^(12-A278)</f>
        <v>21.754566718645574</v>
      </c>
      <c r="D278" s="455">
        <f t="shared" si="0"/>
        <v>4.3509133437291148</v>
      </c>
    </row>
    <row r="279" spans="1:4" x14ac:dyDescent="0.25">
      <c r="A279" s="361">
        <v>15</v>
      </c>
      <c r="B279" s="445">
        <f t="shared" si="1"/>
        <v>16.234751282571324</v>
      </c>
      <c r="C279" s="444">
        <f t="shared" si="2"/>
        <v>20.293439103214155</v>
      </c>
      <c r="D279" s="455">
        <f t="shared" si="0"/>
        <v>4.058687820642831</v>
      </c>
    </row>
    <row r="280" spans="1:4" x14ac:dyDescent="0.25">
      <c r="A280" s="361">
        <v>16</v>
      </c>
      <c r="B280" s="445">
        <f t="shared" si="1"/>
        <v>15.144357539712052</v>
      </c>
      <c r="C280" s="444">
        <f t="shared" si="2"/>
        <v>18.930446924640066</v>
      </c>
      <c r="D280" s="455">
        <f t="shared" si="0"/>
        <v>3.7860893849280135</v>
      </c>
    </row>
    <row r="281" spans="1:4" x14ac:dyDescent="0.25">
      <c r="A281" s="361">
        <v>17</v>
      </c>
      <c r="B281" s="445">
        <f t="shared" si="1"/>
        <v>14.127199197492587</v>
      </c>
      <c r="C281" s="484">
        <f>25*1.072^(12-A281)</f>
        <v>17.658998996865733</v>
      </c>
      <c r="D281" s="485">
        <f t="shared" si="0"/>
        <v>3.5317997993731467</v>
      </c>
    </row>
    <row r="282" spans="1:4" x14ac:dyDescent="0.25">
      <c r="A282" s="361">
        <v>18</v>
      </c>
      <c r="B282" s="445">
        <f>20*1.072^(12-A282)</f>
        <v>13.178357460347561</v>
      </c>
      <c r="C282" s="484">
        <f>25*1.072^(12-A282)</f>
        <v>16.472946825434452</v>
      </c>
      <c r="D282" s="485">
        <f t="shared" si="0"/>
        <v>3.2945893650868907</v>
      </c>
    </row>
    <row r="283" spans="1:4" x14ac:dyDescent="0.25">
      <c r="A283" s="361">
        <v>19</v>
      </c>
      <c r="B283" s="445">
        <v>13</v>
      </c>
      <c r="C283" s="484">
        <v>16</v>
      </c>
      <c r="D283" s="485">
        <f>C283-B283</f>
        <v>3</v>
      </c>
    </row>
    <row r="284" spans="1:4" ht="15.75" thickBot="1" x14ac:dyDescent="0.3">
      <c r="A284" s="362">
        <v>20</v>
      </c>
      <c r="B284" s="446">
        <v>13</v>
      </c>
      <c r="C284" s="486">
        <v>16</v>
      </c>
      <c r="D284" s="487">
        <f t="shared" ref="D284" si="3">C284-B284</f>
        <v>3</v>
      </c>
    </row>
    <row r="285" spans="1:4" x14ac:dyDescent="0.25">
      <c r="A285" s="70"/>
    </row>
    <row r="286" spans="1:4" x14ac:dyDescent="0.25">
      <c r="A286" s="480" t="s">
        <v>601</v>
      </c>
    </row>
    <row r="287" spans="1:4" x14ac:dyDescent="0.25">
      <c r="A287" s="70"/>
    </row>
    <row r="288" spans="1:4" x14ac:dyDescent="0.25">
      <c r="A288" s="70"/>
    </row>
    <row r="289" spans="1:1" x14ac:dyDescent="0.25">
      <c r="A289" s="70"/>
    </row>
    <row r="290" spans="1:1" x14ac:dyDescent="0.25">
      <c r="A290" s="70"/>
    </row>
    <row r="291" spans="1:1" x14ac:dyDescent="0.25">
      <c r="A291" s="70"/>
    </row>
    <row r="292" spans="1:1" x14ac:dyDescent="0.25">
      <c r="A292" s="70"/>
    </row>
    <row r="293" spans="1:1" x14ac:dyDescent="0.25">
      <c r="A293" s="70"/>
    </row>
    <row r="294" spans="1:1" x14ac:dyDescent="0.25">
      <c r="A294" s="70"/>
    </row>
    <row r="295" spans="1:1" x14ac:dyDescent="0.25">
      <c r="A295" s="70"/>
    </row>
    <row r="296" spans="1:1" x14ac:dyDescent="0.25">
      <c r="A296" s="70"/>
    </row>
    <row r="297" spans="1:1" x14ac:dyDescent="0.25">
      <c r="A297" s="70"/>
    </row>
    <row r="298" spans="1:1" x14ac:dyDescent="0.25">
      <c r="A298" s="70"/>
    </row>
    <row r="299" spans="1:1" x14ac:dyDescent="0.25">
      <c r="A299" s="70"/>
    </row>
    <row r="300" spans="1:1" x14ac:dyDescent="0.25">
      <c r="A300" s="70"/>
    </row>
    <row r="301" spans="1:1" x14ac:dyDescent="0.25">
      <c r="A301" s="70"/>
    </row>
    <row r="302" spans="1:1" x14ac:dyDescent="0.25">
      <c r="A302" s="70"/>
    </row>
    <row r="303" spans="1:1" x14ac:dyDescent="0.25">
      <c r="A303" s="70"/>
    </row>
    <row r="304" spans="1:1" x14ac:dyDescent="0.25">
      <c r="A304" s="70"/>
    </row>
    <row r="305" spans="1:5" ht="19.5" thickBot="1" x14ac:dyDescent="0.35">
      <c r="A305" s="255" t="s">
        <v>315</v>
      </c>
    </row>
    <row r="306" spans="1:5" ht="15.75" x14ac:dyDescent="0.25">
      <c r="A306" s="89" t="s">
        <v>16</v>
      </c>
      <c r="B306" s="124" t="s">
        <v>17</v>
      </c>
      <c r="C306" s="143" t="s">
        <v>18</v>
      </c>
      <c r="D306" s="147" t="s">
        <v>114</v>
      </c>
      <c r="E306" s="275" t="s">
        <v>20</v>
      </c>
    </row>
    <row r="307" spans="1:5" ht="17.25" x14ac:dyDescent="0.25">
      <c r="A307" s="126" t="s">
        <v>316</v>
      </c>
      <c r="B307" s="295">
        <f>B46</f>
        <v>843.45268819290209</v>
      </c>
      <c r="C307" s="129" t="s">
        <v>78</v>
      </c>
      <c r="D307" s="294"/>
      <c r="E307" s="115"/>
    </row>
    <row r="308" spans="1:5" ht="18" x14ac:dyDescent="0.35">
      <c r="A308" s="269" t="s">
        <v>317</v>
      </c>
      <c r="B308" s="296">
        <f>B92</f>
        <v>243.13721259952422</v>
      </c>
      <c r="C308" s="109" t="s">
        <v>318</v>
      </c>
      <c r="D308" s="111"/>
      <c r="E308" s="78"/>
    </row>
    <row r="309" spans="1:5" x14ac:dyDescent="0.25">
      <c r="A309" s="81" t="s">
        <v>602</v>
      </c>
      <c r="B309" s="297">
        <f>B61</f>
        <v>18.590254343245274</v>
      </c>
      <c r="C309" t="s">
        <v>146</v>
      </c>
      <c r="D309" s="111"/>
      <c r="E309" s="78"/>
    </row>
    <row r="310" spans="1:5" ht="17.25" x14ac:dyDescent="0.25">
      <c r="A310" s="81" t="s">
        <v>319</v>
      </c>
      <c r="B310" s="298">
        <f>B41/1000</f>
        <v>4</v>
      </c>
      <c r="C310" t="s">
        <v>320</v>
      </c>
      <c r="D310" s="111"/>
      <c r="E310" s="78"/>
    </row>
    <row r="311" spans="1:5" ht="18" x14ac:dyDescent="0.35">
      <c r="A311" s="270" t="s">
        <v>321</v>
      </c>
      <c r="B311" s="534">
        <v>0.5</v>
      </c>
      <c r="C311" s="109" t="s">
        <v>39</v>
      </c>
      <c r="D311" s="304" t="s">
        <v>581</v>
      </c>
      <c r="E311" s="78"/>
    </row>
    <row r="312" spans="1:5" ht="18" x14ac:dyDescent="0.35">
      <c r="A312" s="269" t="s">
        <v>322</v>
      </c>
      <c r="B312" s="272">
        <f>(B9-B311)*B2/1000-B91*B97</f>
        <v>39.690711972071995</v>
      </c>
      <c r="C312" t="s">
        <v>323</v>
      </c>
      <c r="D312" s="111"/>
      <c r="E312" s="335"/>
    </row>
    <row r="313" spans="1:5" ht="18" x14ac:dyDescent="0.35">
      <c r="A313" s="271" t="s">
        <v>324</v>
      </c>
      <c r="B313" s="273">
        <f>(B9-B111)*B2/1000-B91*B97</f>
        <v>31.330711972071999</v>
      </c>
      <c r="C313" s="97" t="s">
        <v>325</v>
      </c>
      <c r="D313" s="113"/>
      <c r="E313" s="336"/>
    </row>
    <row r="315" spans="1:5" ht="15.75" x14ac:dyDescent="0.25">
      <c r="A315" s="41" t="s">
        <v>326</v>
      </c>
      <c r="B315" s="67" t="s">
        <v>17</v>
      </c>
      <c r="C315" s="140" t="s">
        <v>18</v>
      </c>
      <c r="D315" s="147" t="s">
        <v>114</v>
      </c>
      <c r="E315" s="275" t="s">
        <v>20</v>
      </c>
    </row>
    <row r="316" spans="1:5" ht="18" x14ac:dyDescent="0.35">
      <c r="A316" s="588" t="s">
        <v>327</v>
      </c>
      <c r="B316" s="282">
        <f>MINA(0.66,0.5+0.01*B309)</f>
        <v>0.66</v>
      </c>
      <c r="C316" s="285" t="s">
        <v>328</v>
      </c>
      <c r="D316" s="290"/>
      <c r="E316" s="115"/>
    </row>
    <row r="317" spans="1:5" ht="18" x14ac:dyDescent="0.35">
      <c r="A317" s="589"/>
      <c r="B317" s="148">
        <f>B316*B308</f>
        <v>160.47056031568599</v>
      </c>
      <c r="C317" s="186" t="s">
        <v>329</v>
      </c>
      <c r="D317" s="293"/>
      <c r="E317" s="108"/>
    </row>
    <row r="318" spans="1:5" ht="18" x14ac:dyDescent="0.35">
      <c r="A318" s="570" t="s">
        <v>330</v>
      </c>
      <c r="B318" s="391">
        <f>MAXA(0.06,0.15-0.0055*B309)</f>
        <v>0.06</v>
      </c>
      <c r="C318" s="245" t="s">
        <v>331</v>
      </c>
      <c r="D318" s="111"/>
      <c r="E318" s="78"/>
    </row>
    <row r="319" spans="1:5" ht="18" x14ac:dyDescent="0.35">
      <c r="A319" s="570"/>
      <c r="B319" s="179">
        <f>B307*B310*B318</f>
        <v>202.42864516629649</v>
      </c>
      <c r="C319" s="48" t="s">
        <v>329</v>
      </c>
      <c r="D319" s="111"/>
      <c r="E319" s="78"/>
    </row>
    <row r="320" spans="1:5" ht="18" x14ac:dyDescent="0.35">
      <c r="A320" s="590" t="s">
        <v>332</v>
      </c>
      <c r="B320" s="535">
        <f>4.57</f>
        <v>4.57</v>
      </c>
      <c r="C320" s="286" t="s">
        <v>333</v>
      </c>
      <c r="D320" s="135"/>
      <c r="E320" s="84"/>
    </row>
    <row r="321" spans="1:6" ht="18" x14ac:dyDescent="0.35">
      <c r="A321" s="591"/>
      <c r="B321" s="281">
        <f>B320*B312</f>
        <v>181.38655371236902</v>
      </c>
      <c r="C321" s="110" t="s">
        <v>329</v>
      </c>
      <c r="D321" s="333"/>
      <c r="E321" s="189"/>
    </row>
    <row r="322" spans="1:6" ht="18" x14ac:dyDescent="0.35">
      <c r="A322" s="570" t="s">
        <v>334</v>
      </c>
      <c r="B322" s="536">
        <f>2.86</f>
        <v>2.86</v>
      </c>
      <c r="C322" s="245" t="s">
        <v>335</v>
      </c>
      <c r="D322" s="135"/>
      <c r="E322" s="83"/>
    </row>
    <row r="323" spans="1:6" ht="18" x14ac:dyDescent="0.35">
      <c r="A323" s="570"/>
      <c r="B323" s="179">
        <f>B322*B313</f>
        <v>89.60583624012591</v>
      </c>
      <c r="C323" s="48" t="s">
        <v>329</v>
      </c>
      <c r="D323" s="334"/>
      <c r="E323" s="83"/>
    </row>
    <row r="324" spans="1:6" ht="18" x14ac:dyDescent="0.35">
      <c r="A324" s="582" t="s">
        <v>336</v>
      </c>
      <c r="B324" s="279">
        <f>B317+B319+B321-B323</f>
        <v>454.67992295422562</v>
      </c>
      <c r="C324" s="200" t="s">
        <v>337</v>
      </c>
      <c r="D324" s="580" t="s">
        <v>338</v>
      </c>
      <c r="E324" s="121"/>
    </row>
    <row r="325" spans="1:6" ht="15.6" customHeight="1" x14ac:dyDescent="0.35">
      <c r="A325" s="583"/>
      <c r="B325" s="280">
        <f>B324/B353</f>
        <v>834.79559605284203</v>
      </c>
      <c r="C325" s="109" t="s">
        <v>339</v>
      </c>
      <c r="D325" s="580"/>
      <c r="E325" s="78"/>
    </row>
    <row r="326" spans="1:6" ht="15.6" customHeight="1" x14ac:dyDescent="0.35">
      <c r="A326" s="583"/>
      <c r="B326" s="127">
        <f>B325/B308</f>
        <v>3.433434097263627</v>
      </c>
      <c r="C326" s="109" t="s">
        <v>340</v>
      </c>
      <c r="D326" s="581"/>
      <c r="E326" s="108"/>
    </row>
    <row r="327" spans="1:6" ht="18" x14ac:dyDescent="0.35">
      <c r="A327" s="582" t="s">
        <v>341</v>
      </c>
      <c r="B327" s="279">
        <f>B317*B335+B319+B321*B335-B323</f>
        <v>1138.3941510103355</v>
      </c>
      <c r="C327" s="200" t="s">
        <v>337</v>
      </c>
      <c r="D327" s="585" t="s">
        <v>342</v>
      </c>
      <c r="E327" s="78"/>
    </row>
    <row r="328" spans="1:6" ht="18" customHeight="1" x14ac:dyDescent="0.35">
      <c r="A328" s="583"/>
      <c r="B328" s="280">
        <f>B327/B353</f>
        <v>2090.0998171661408</v>
      </c>
      <c r="C328" s="109" t="s">
        <v>339</v>
      </c>
      <c r="D328" s="580"/>
      <c r="E328" s="78"/>
    </row>
    <row r="329" spans="1:6" ht="18" x14ac:dyDescent="0.35">
      <c r="A329" s="584"/>
      <c r="B329" s="128">
        <f>B328/B308</f>
        <v>8.5963797759283462</v>
      </c>
      <c r="C329" s="97" t="s">
        <v>343</v>
      </c>
      <c r="D329" s="586"/>
      <c r="E329" s="88"/>
    </row>
    <row r="330" spans="1:6" x14ac:dyDescent="0.25">
      <c r="B330" s="179"/>
      <c r="D330" s="31"/>
    </row>
    <row r="331" spans="1:6" ht="15.75" x14ac:dyDescent="0.25">
      <c r="A331" s="191" t="s">
        <v>344</v>
      </c>
      <c r="B331" s="67" t="s">
        <v>17</v>
      </c>
      <c r="C331" s="141" t="s">
        <v>18</v>
      </c>
      <c r="D331" s="147" t="s">
        <v>114</v>
      </c>
      <c r="E331" s="275" t="s">
        <v>20</v>
      </c>
    </row>
    <row r="332" spans="1:6" x14ac:dyDescent="0.25">
      <c r="A332" s="126" t="s">
        <v>345</v>
      </c>
      <c r="B332" s="537">
        <v>1.5</v>
      </c>
      <c r="C332" s="118"/>
      <c r="D332" s="290"/>
      <c r="E332" s="115"/>
      <c r="F332" s="57"/>
    </row>
    <row r="333" spans="1:6" x14ac:dyDescent="0.25">
      <c r="A333" s="81" t="s">
        <v>346</v>
      </c>
      <c r="B333" s="308">
        <v>2</v>
      </c>
      <c r="C333" s="48"/>
      <c r="D333" s="111"/>
      <c r="E333" s="78"/>
    </row>
    <row r="334" spans="1:6" x14ac:dyDescent="0.25">
      <c r="A334" s="81" t="s">
        <v>347</v>
      </c>
      <c r="B334" s="538">
        <v>1</v>
      </c>
      <c r="C334" s="48"/>
      <c r="D334" s="111" t="s">
        <v>348</v>
      </c>
      <c r="E334" s="78"/>
    </row>
    <row r="335" spans="1:6" x14ac:dyDescent="0.25">
      <c r="A335" s="112" t="s">
        <v>349</v>
      </c>
      <c r="B335" s="291">
        <f>IF(B332*B333*B334&lt;B332,B332,B332*B333*B334)</f>
        <v>3</v>
      </c>
      <c r="C335" s="91"/>
      <c r="D335" s="292"/>
      <c r="E335" s="79"/>
    </row>
    <row r="337" spans="1:20" ht="15.75" x14ac:dyDescent="0.25">
      <c r="A337" s="41" t="s">
        <v>350</v>
      </c>
      <c r="B337" s="67" t="s">
        <v>17</v>
      </c>
      <c r="C337" s="141" t="s">
        <v>18</v>
      </c>
      <c r="D337" s="147" t="s">
        <v>114</v>
      </c>
      <c r="E337" s="275" t="s">
        <v>20</v>
      </c>
    </row>
    <row r="338" spans="1:20" x14ac:dyDescent="0.25">
      <c r="A338" s="126" t="s">
        <v>351</v>
      </c>
      <c r="B338" s="213">
        <f>B42</f>
        <v>5</v>
      </c>
      <c r="C338" s="129" t="s">
        <v>49</v>
      </c>
      <c r="D338" s="290"/>
      <c r="E338" s="115"/>
    </row>
    <row r="339" spans="1:20" ht="18" x14ac:dyDescent="0.35">
      <c r="A339" s="81" t="s">
        <v>352</v>
      </c>
      <c r="B339" s="178">
        <f>(10.33+B338/2)/10.33</f>
        <v>1.2420135527589544</v>
      </c>
      <c r="D339" s="111"/>
      <c r="E339" s="78"/>
    </row>
    <row r="340" spans="1:20" x14ac:dyDescent="0.25">
      <c r="A340" s="81" t="s">
        <v>26</v>
      </c>
      <c r="B340" s="177">
        <f>B14</f>
        <v>0</v>
      </c>
      <c r="C340" t="s">
        <v>49</v>
      </c>
      <c r="D340" s="111"/>
      <c r="E340" s="78"/>
      <c r="F340" s="180"/>
      <c r="T340" s="180"/>
    </row>
    <row r="341" spans="1:20" ht="18" x14ac:dyDescent="0.35">
      <c r="A341" s="269" t="s">
        <v>353</v>
      </c>
      <c r="B341" s="178">
        <f>(760-B340/10)/760</f>
        <v>1</v>
      </c>
      <c r="C341" s="278"/>
      <c r="D341" s="111"/>
      <c r="E341" s="78"/>
    </row>
    <row r="342" spans="1:20" x14ac:dyDescent="0.25">
      <c r="A342" s="81" t="s">
        <v>354</v>
      </c>
      <c r="B342" s="280">
        <f>B13</f>
        <v>28</v>
      </c>
      <c r="C342" t="s">
        <v>24</v>
      </c>
      <c r="D342" s="111"/>
      <c r="E342" s="78"/>
    </row>
    <row r="343" spans="1:20" x14ac:dyDescent="0.25">
      <c r="A343" s="81" t="s">
        <v>355</v>
      </c>
      <c r="B343" s="177">
        <f>B12</f>
        <v>19</v>
      </c>
      <c r="C343" t="s">
        <v>24</v>
      </c>
      <c r="D343" s="111"/>
      <c r="E343" s="78"/>
    </row>
    <row r="344" spans="1:20" ht="18" x14ac:dyDescent="0.35">
      <c r="A344" s="81" t="s">
        <v>356</v>
      </c>
      <c r="B344" s="178">
        <f>13.73505*EXP(-0.01988*B342)</f>
        <v>7.8719905545941513</v>
      </c>
      <c r="C344" s="287"/>
      <c r="D344" s="165"/>
      <c r="E344" s="78"/>
      <c r="J344" s="443"/>
    </row>
    <row r="345" spans="1:20" ht="18" x14ac:dyDescent="0.35">
      <c r="A345" s="269" t="s">
        <v>357</v>
      </c>
      <c r="B345" s="178">
        <f>13.73505*EXP(-0.01988*B343)</f>
        <v>9.414310826195555</v>
      </c>
      <c r="C345" s="287"/>
      <c r="D345" s="165"/>
      <c r="E345" s="78"/>
      <c r="G345" s="443"/>
      <c r="H345" s="443"/>
      <c r="I345" s="443"/>
      <c r="J345" s="443"/>
      <c r="K345" s="180"/>
      <c r="L345" s="180"/>
      <c r="M345" s="180"/>
      <c r="N345" s="180"/>
      <c r="O345" s="180"/>
      <c r="P345" s="180"/>
      <c r="Q345" s="180"/>
      <c r="R345" s="180"/>
      <c r="S345" s="180"/>
    </row>
    <row r="346" spans="1:20" x14ac:dyDescent="0.25">
      <c r="A346" s="269" t="s">
        <v>586</v>
      </c>
      <c r="B346" s="539">
        <v>0.85</v>
      </c>
      <c r="C346" s="287"/>
      <c r="D346" s="470" t="s">
        <v>587</v>
      </c>
      <c r="E346" s="78"/>
      <c r="G346" s="443"/>
      <c r="H346" s="443"/>
      <c r="I346" s="443"/>
      <c r="J346" s="443"/>
      <c r="K346" s="180"/>
      <c r="L346" s="180"/>
      <c r="M346" s="180"/>
      <c r="N346" s="180"/>
      <c r="O346" s="180"/>
      <c r="P346" s="180"/>
      <c r="Q346" s="180"/>
      <c r="R346" s="180"/>
      <c r="S346" s="180"/>
    </row>
    <row r="347" spans="1:20" x14ac:dyDescent="0.25">
      <c r="A347" s="283" t="s">
        <v>358</v>
      </c>
      <c r="B347" s="538">
        <v>0.65</v>
      </c>
      <c r="D347" s="471" t="s">
        <v>588</v>
      </c>
      <c r="E347" s="78"/>
      <c r="F347" s="180"/>
      <c r="G347" s="443"/>
      <c r="H347" s="443"/>
      <c r="I347" s="443"/>
      <c r="K347" s="180"/>
      <c r="L347" s="180"/>
      <c r="M347" s="180"/>
      <c r="N347" s="180"/>
      <c r="O347" s="180"/>
      <c r="P347" s="180"/>
      <c r="Q347" s="180"/>
      <c r="R347" s="180"/>
      <c r="S347" s="180"/>
      <c r="T347" s="180"/>
    </row>
    <row r="348" spans="1:20" x14ac:dyDescent="0.25">
      <c r="A348" s="283" t="s">
        <v>359</v>
      </c>
      <c r="B348" s="538">
        <v>0.95</v>
      </c>
      <c r="D348" s="471" t="s">
        <v>589</v>
      </c>
      <c r="E348" s="78"/>
    </row>
    <row r="349" spans="1:20" ht="18" x14ac:dyDescent="0.35">
      <c r="A349" s="81" t="s">
        <v>360</v>
      </c>
      <c r="B349" s="538">
        <v>2</v>
      </c>
      <c r="C349" s="149"/>
      <c r="D349" s="111"/>
      <c r="E349" s="78"/>
    </row>
    <row r="350" spans="1:20" ht="17.25" x14ac:dyDescent="0.25">
      <c r="A350" s="81" t="s">
        <v>361</v>
      </c>
      <c r="B350" s="538">
        <v>11.33</v>
      </c>
      <c r="C350" s="149"/>
      <c r="D350" s="111"/>
      <c r="E350" s="78"/>
    </row>
    <row r="351" spans="1:20" x14ac:dyDescent="0.25">
      <c r="A351" s="81" t="s">
        <v>362</v>
      </c>
      <c r="B351" s="181">
        <f>B347*B346*(B348*B344*B339-B349)/B350*B341*1.024^(B342-10)</f>
        <v>0.54466018400682203</v>
      </c>
      <c r="C351" s="288"/>
      <c r="D351" s="111"/>
      <c r="E351" s="78"/>
    </row>
    <row r="352" spans="1:20" x14ac:dyDescent="0.25">
      <c r="A352" s="81" t="s">
        <v>363</v>
      </c>
      <c r="B352" s="181">
        <f>B347*B346*(B348*B345*B339-B349)/B350*B341*1.024^(B343-10)</f>
        <v>0.54982967767335011</v>
      </c>
      <c r="C352" s="288"/>
      <c r="D352" s="111"/>
      <c r="E352" s="78"/>
      <c r="G352" s="182"/>
      <c r="H352" s="182"/>
    </row>
    <row r="353" spans="1:8" x14ac:dyDescent="0.25">
      <c r="A353" s="112" t="s">
        <v>364</v>
      </c>
      <c r="B353" s="284">
        <f>MIN(B351:B352)</f>
        <v>0.54466018400682203</v>
      </c>
      <c r="C353" s="289"/>
      <c r="D353" s="113"/>
      <c r="E353" s="79"/>
      <c r="F353" s="182"/>
      <c r="G353" s="182"/>
      <c r="H353" s="182"/>
    </row>
    <row r="354" spans="1:8" x14ac:dyDescent="0.25">
      <c r="F354" s="182"/>
      <c r="G354" s="182"/>
      <c r="H354" s="182"/>
    </row>
    <row r="355" spans="1:8" ht="15.75" x14ac:dyDescent="0.25">
      <c r="A355" s="41" t="s">
        <v>365</v>
      </c>
      <c r="B355" s="67" t="s">
        <v>17</v>
      </c>
      <c r="C355" s="141" t="s">
        <v>18</v>
      </c>
      <c r="D355" s="147" t="s">
        <v>114</v>
      </c>
      <c r="E355" s="275" t="s">
        <v>20</v>
      </c>
      <c r="F355" s="182"/>
    </row>
    <row r="356" spans="1:8" ht="18" x14ac:dyDescent="0.35">
      <c r="A356" s="126" t="s">
        <v>366</v>
      </c>
      <c r="B356" s="537">
        <v>2.5</v>
      </c>
      <c r="C356" s="129" t="s">
        <v>367</v>
      </c>
      <c r="D356" s="290"/>
      <c r="E356" s="115"/>
    </row>
    <row r="357" spans="1:8" x14ac:dyDescent="0.25">
      <c r="A357" s="299" t="s">
        <v>368</v>
      </c>
      <c r="B357" s="300">
        <f>B328/24/B356</f>
        <v>34.834996952769011</v>
      </c>
      <c r="C357" s="58" t="s">
        <v>117</v>
      </c>
      <c r="D357" s="111"/>
      <c r="E357" s="78"/>
    </row>
    <row r="358" spans="1:8" x14ac:dyDescent="0.25">
      <c r="A358" s="220" t="s">
        <v>369</v>
      </c>
      <c r="B358" s="331">
        <f>B325/24/B356</f>
        <v>13.913259934214034</v>
      </c>
      <c r="C358" s="135" t="s">
        <v>370</v>
      </c>
      <c r="D358" s="257"/>
      <c r="E358" s="84"/>
    </row>
    <row r="359" spans="1:8" ht="17.25" x14ac:dyDescent="0.25">
      <c r="A359" s="146" t="s">
        <v>371</v>
      </c>
      <c r="B359" s="332">
        <f>B358/B3</f>
        <v>0.37945254366038272</v>
      </c>
      <c r="C359" s="154" t="s">
        <v>372</v>
      </c>
      <c r="D359" s="374" t="s">
        <v>373</v>
      </c>
      <c r="E359" s="83"/>
    </row>
    <row r="360" spans="1:8" ht="17.25" x14ac:dyDescent="0.25">
      <c r="A360" s="220" t="s">
        <v>590</v>
      </c>
      <c r="B360" s="472">
        <f>348.42*(1-B340*1.05*10^-4)/(B343+273)</f>
        <v>1.1932191780821919</v>
      </c>
      <c r="C360" s="188" t="s">
        <v>374</v>
      </c>
      <c r="D360" s="219"/>
      <c r="E360" s="121"/>
    </row>
    <row r="361" spans="1:8" x14ac:dyDescent="0.25">
      <c r="A361" s="81" t="s">
        <v>375</v>
      </c>
      <c r="B361" s="540">
        <v>0.20899999999999999</v>
      </c>
      <c r="D361" s="111"/>
      <c r="E361" s="78"/>
    </row>
    <row r="362" spans="1:8" ht="18" x14ac:dyDescent="0.35">
      <c r="A362" s="269" t="s">
        <v>376</v>
      </c>
      <c r="B362" s="540">
        <v>0.05</v>
      </c>
      <c r="D362" s="111"/>
      <c r="E362" s="78"/>
    </row>
    <row r="363" spans="1:8" ht="18.75" x14ac:dyDescent="0.35">
      <c r="A363" s="81" t="s">
        <v>377</v>
      </c>
      <c r="B363" s="183">
        <f>B360*B361*B362*(B338-0.25)</f>
        <v>5.9228416952054802E-2</v>
      </c>
      <c r="C363" s="109" t="s">
        <v>378</v>
      </c>
      <c r="D363" s="111"/>
      <c r="E363" s="78"/>
    </row>
    <row r="364" spans="1:8" ht="17.25" x14ac:dyDescent="0.25">
      <c r="A364" s="301" t="s">
        <v>379</v>
      </c>
      <c r="B364" s="302">
        <f>B328/24/B363</f>
        <v>1470.3667067856895</v>
      </c>
      <c r="C364" s="303" t="s">
        <v>380</v>
      </c>
      <c r="D364" s="113"/>
      <c r="E364" s="79"/>
    </row>
    <row r="400" ht="15" customHeight="1" x14ac:dyDescent="0.25"/>
  </sheetData>
  <sheetProtection sheet="1" objects="1" scenarios="1"/>
  <mergeCells count="35">
    <mergeCell ref="J32:J33"/>
    <mergeCell ref="G32:G33"/>
    <mergeCell ref="D324:D326"/>
    <mergeCell ref="A327:A329"/>
    <mergeCell ref="D327:D329"/>
    <mergeCell ref="A197:A201"/>
    <mergeCell ref="A316:A317"/>
    <mergeCell ref="A318:A319"/>
    <mergeCell ref="A320:A321"/>
    <mergeCell ref="A322:A323"/>
    <mergeCell ref="A324:A326"/>
    <mergeCell ref="A273:A274"/>
    <mergeCell ref="D273:D274"/>
    <mergeCell ref="A192:A196"/>
    <mergeCell ref="A114:A115"/>
    <mergeCell ref="A160:A162"/>
    <mergeCell ref="A178:A179"/>
    <mergeCell ref="A180:A184"/>
    <mergeCell ref="A187:A189"/>
    <mergeCell ref="A190:A191"/>
    <mergeCell ref="A112:A113"/>
    <mergeCell ref="A163:A164"/>
    <mergeCell ref="A165:A166"/>
    <mergeCell ref="A167:A168"/>
    <mergeCell ref="A169:A171"/>
    <mergeCell ref="A172:A177"/>
    <mergeCell ref="A103:A104"/>
    <mergeCell ref="A108:A109"/>
    <mergeCell ref="A110:A111"/>
    <mergeCell ref="A105:A107"/>
    <mergeCell ref="A18:A20"/>
    <mergeCell ref="A21:A23"/>
    <mergeCell ref="A24:A26"/>
    <mergeCell ref="A27:A29"/>
    <mergeCell ref="A30:A32"/>
  </mergeCells>
  <dataValidations count="1">
    <dataValidation type="list" showInputMessage="1" showErrorMessage="1" sqref="B16" xr:uid="{FAACDADA-4E2E-489A-A53C-E7A50A829DCE}">
      <formula1>"Si,No"</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3783-B522-4E74-ACE9-C84FCE8190B1}">
  <sheetPr>
    <tabColor theme="0" tint="-0.14999847407452621"/>
  </sheetPr>
  <dimension ref="A1:F93"/>
  <sheetViews>
    <sheetView showGridLines="0" workbookViewId="0">
      <selection activeCell="D24" sqref="D24"/>
    </sheetView>
  </sheetViews>
  <sheetFormatPr baseColWidth="10" defaultColWidth="11.42578125" defaultRowHeight="15" x14ac:dyDescent="0.25"/>
  <cols>
    <col min="1" max="1" width="32.140625" customWidth="1"/>
    <col min="2" max="2" width="76.85546875" customWidth="1"/>
    <col min="3" max="3" width="13.42578125" customWidth="1"/>
    <col min="4" max="4" width="40.42578125" customWidth="1"/>
    <col min="5" max="5" width="10" customWidth="1"/>
    <col min="6" max="6" width="68" customWidth="1"/>
  </cols>
  <sheetData>
    <row r="1" spans="1:6" ht="31.5" x14ac:dyDescent="0.25">
      <c r="A1" s="422" t="s">
        <v>383</v>
      </c>
      <c r="B1" s="423" t="s">
        <v>384</v>
      </c>
      <c r="C1" s="424" t="s">
        <v>385</v>
      </c>
      <c r="D1" s="425" t="s">
        <v>386</v>
      </c>
      <c r="E1" s="428"/>
      <c r="F1" s="5"/>
    </row>
    <row r="2" spans="1:6" ht="17.25" x14ac:dyDescent="0.25">
      <c r="A2" s="126" t="s">
        <v>387</v>
      </c>
      <c r="B2" s="316" t="s">
        <v>388</v>
      </c>
      <c r="C2" s="309" t="s">
        <v>78</v>
      </c>
      <c r="D2" s="541">
        <v>34.61</v>
      </c>
      <c r="E2" s="429"/>
      <c r="F2" s="166"/>
    </row>
    <row r="3" spans="1:6" ht="17.25" x14ac:dyDescent="0.25">
      <c r="A3" s="81" t="s">
        <v>389</v>
      </c>
      <c r="B3" s="317" t="s">
        <v>390</v>
      </c>
      <c r="C3" s="16" t="s">
        <v>78</v>
      </c>
      <c r="D3" s="542">
        <v>46.07</v>
      </c>
      <c r="E3" s="429"/>
      <c r="F3" s="166"/>
    </row>
    <row r="4" spans="1:6" ht="17.25" x14ac:dyDescent="0.25">
      <c r="A4" s="81" t="s">
        <v>391</v>
      </c>
      <c r="B4" s="317" t="s">
        <v>392</v>
      </c>
      <c r="C4" s="16" t="s">
        <v>78</v>
      </c>
      <c r="D4" s="542">
        <v>63.01</v>
      </c>
      <c r="E4" s="429"/>
      <c r="F4" s="166"/>
    </row>
    <row r="5" spans="1:6" ht="17.25" x14ac:dyDescent="0.25">
      <c r="A5" s="81" t="s">
        <v>77</v>
      </c>
      <c r="B5" s="85" t="s">
        <v>393</v>
      </c>
      <c r="C5" s="16" t="s">
        <v>78</v>
      </c>
      <c r="D5" s="542">
        <v>89.06</v>
      </c>
      <c r="E5" s="429"/>
      <c r="F5" s="166"/>
    </row>
    <row r="6" spans="1:6" ht="17.25" x14ac:dyDescent="0.25">
      <c r="A6" s="81" t="s">
        <v>79</v>
      </c>
      <c r="B6" s="85" t="s">
        <v>394</v>
      </c>
      <c r="C6" s="16" t="s">
        <v>78</v>
      </c>
      <c r="D6" s="542">
        <v>93.56</v>
      </c>
      <c r="E6" s="429"/>
      <c r="F6" s="166"/>
    </row>
    <row r="7" spans="1:6" ht="17.25" x14ac:dyDescent="0.25">
      <c r="A7" s="81" t="s">
        <v>105</v>
      </c>
      <c r="B7" s="85" t="s">
        <v>394</v>
      </c>
      <c r="C7" s="16" t="s">
        <v>78</v>
      </c>
      <c r="D7" s="542">
        <v>93.56</v>
      </c>
      <c r="E7" s="429"/>
      <c r="F7" s="166"/>
    </row>
    <row r="8" spans="1:6" x14ac:dyDescent="0.25">
      <c r="A8" s="81" t="s">
        <v>80</v>
      </c>
      <c r="B8" s="85" t="s">
        <v>395</v>
      </c>
      <c r="C8" s="16" t="s">
        <v>81</v>
      </c>
      <c r="D8" s="542">
        <v>1.86</v>
      </c>
      <c r="E8" s="429"/>
      <c r="F8" s="166"/>
    </row>
    <row r="9" spans="1:6" ht="17.25" x14ac:dyDescent="0.25">
      <c r="A9" s="81" t="s">
        <v>82</v>
      </c>
      <c r="B9" s="85" t="s">
        <v>396</v>
      </c>
      <c r="C9" s="16" t="s">
        <v>67</v>
      </c>
      <c r="D9" s="542">
        <v>23.96</v>
      </c>
      <c r="E9" s="429"/>
      <c r="F9" s="166"/>
    </row>
    <row r="10" spans="1:6" ht="17.25" x14ac:dyDescent="0.25">
      <c r="A10" s="81" t="s">
        <v>182</v>
      </c>
      <c r="B10" s="85" t="s">
        <v>397</v>
      </c>
      <c r="C10" s="16" t="s">
        <v>67</v>
      </c>
      <c r="D10" s="542">
        <v>29.71</v>
      </c>
      <c r="E10" s="429"/>
      <c r="F10" s="166"/>
    </row>
    <row r="11" spans="1:6" ht="17.25" x14ac:dyDescent="0.25">
      <c r="A11" s="81" t="s">
        <v>304</v>
      </c>
      <c r="B11" s="85" t="s">
        <v>398</v>
      </c>
      <c r="C11" s="16" t="s">
        <v>67</v>
      </c>
      <c r="D11" s="543">
        <v>300</v>
      </c>
      <c r="E11" s="430"/>
      <c r="F11" s="166"/>
    </row>
    <row r="12" spans="1:6" ht="17.25" x14ac:dyDescent="0.25">
      <c r="A12" s="81" t="s">
        <v>183</v>
      </c>
      <c r="B12" s="85" t="s">
        <v>399</v>
      </c>
      <c r="C12" s="16" t="s">
        <v>67</v>
      </c>
      <c r="D12" s="543">
        <v>37.61</v>
      </c>
      <c r="E12" s="430"/>
      <c r="F12" s="166"/>
    </row>
    <row r="13" spans="1:6" ht="17.25" x14ac:dyDescent="0.25">
      <c r="A13" s="411" t="s">
        <v>382</v>
      </c>
      <c r="B13" s="426" t="s">
        <v>400</v>
      </c>
      <c r="C13" s="427" t="s">
        <v>154</v>
      </c>
      <c r="D13" s="544">
        <v>15.2</v>
      </c>
      <c r="E13" s="431"/>
      <c r="F13" s="166"/>
    </row>
    <row r="14" spans="1:6" x14ac:dyDescent="0.25">
      <c r="D14" s="56"/>
      <c r="E14" s="56"/>
    </row>
    <row r="15" spans="1:6" x14ac:dyDescent="0.25">
      <c r="D15" s="56"/>
      <c r="E15" s="56"/>
    </row>
    <row r="16" spans="1:6" x14ac:dyDescent="0.25">
      <c r="A16" s="58" t="s">
        <v>93</v>
      </c>
      <c r="D16" s="56"/>
      <c r="E16" s="56"/>
    </row>
    <row r="17" spans="1:5" x14ac:dyDescent="0.25">
      <c r="A17" t="s">
        <v>576</v>
      </c>
      <c r="D17" s="56"/>
      <c r="E17" s="56"/>
    </row>
    <row r="18" spans="1:5" x14ac:dyDescent="0.25">
      <c r="A18" t="s">
        <v>577</v>
      </c>
      <c r="D18" s="56"/>
      <c r="E18" s="56"/>
    </row>
    <row r="19" spans="1:5" x14ac:dyDescent="0.25">
      <c r="A19" s="463" t="s">
        <v>578</v>
      </c>
      <c r="D19" s="56"/>
      <c r="E19" s="56"/>
    </row>
    <row r="20" spans="1:5" x14ac:dyDescent="0.25">
      <c r="D20" s="56"/>
      <c r="E20" s="56"/>
    </row>
    <row r="21" spans="1:5" x14ac:dyDescent="0.25">
      <c r="D21" s="56"/>
      <c r="E21" s="56"/>
    </row>
    <row r="22" spans="1:5" x14ac:dyDescent="0.25">
      <c r="D22" s="56"/>
      <c r="E22" s="56"/>
    </row>
    <row r="23" spans="1:5" x14ac:dyDescent="0.25">
      <c r="D23" s="56"/>
      <c r="E23" s="56"/>
    </row>
    <row r="27" spans="1:5" x14ac:dyDescent="0.25">
      <c r="D27" s="56"/>
      <c r="E27" s="56"/>
    </row>
    <row r="28" spans="1:5" x14ac:dyDescent="0.25">
      <c r="D28" s="56"/>
      <c r="E28" s="56"/>
    </row>
    <row r="29" spans="1:5" x14ac:dyDescent="0.25">
      <c r="D29" s="56"/>
      <c r="E29" s="56"/>
    </row>
    <row r="30" spans="1:5" x14ac:dyDescent="0.25">
      <c r="D30" s="56"/>
      <c r="E30" s="56"/>
    </row>
    <row r="31" spans="1:5" x14ac:dyDescent="0.25">
      <c r="D31" s="56"/>
      <c r="E31" s="56"/>
    </row>
    <row r="32" spans="1:5" x14ac:dyDescent="0.25">
      <c r="D32" s="56"/>
      <c r="E32" s="56"/>
    </row>
    <row r="33" spans="4:5" x14ac:dyDescent="0.25">
      <c r="D33" s="56"/>
      <c r="E33" s="56"/>
    </row>
    <row r="34" spans="4:5" x14ac:dyDescent="0.25">
      <c r="D34" s="56"/>
      <c r="E34" s="56"/>
    </row>
    <row r="35" spans="4:5" x14ac:dyDescent="0.25">
      <c r="D35" s="56"/>
      <c r="E35" s="56"/>
    </row>
    <row r="36" spans="4:5" x14ac:dyDescent="0.25">
      <c r="D36" s="56"/>
      <c r="E36" s="56"/>
    </row>
    <row r="37" spans="4:5" x14ac:dyDescent="0.25">
      <c r="D37" s="56"/>
      <c r="E37" s="56"/>
    </row>
    <row r="41" spans="4:5" x14ac:dyDescent="0.25">
      <c r="D41" s="56"/>
      <c r="E41" s="56"/>
    </row>
    <row r="42" spans="4:5" x14ac:dyDescent="0.25">
      <c r="D42" s="56"/>
      <c r="E42" s="56"/>
    </row>
    <row r="43" spans="4:5" x14ac:dyDescent="0.25">
      <c r="D43" s="56"/>
      <c r="E43" s="56"/>
    </row>
    <row r="44" spans="4:5" x14ac:dyDescent="0.25">
      <c r="D44" s="56"/>
      <c r="E44" s="56"/>
    </row>
    <row r="45" spans="4:5" x14ac:dyDescent="0.25">
      <c r="D45" s="56"/>
      <c r="E45" s="56"/>
    </row>
    <row r="46" spans="4:5" x14ac:dyDescent="0.25">
      <c r="D46" s="56"/>
      <c r="E46" s="56"/>
    </row>
    <row r="47" spans="4:5" x14ac:dyDescent="0.25">
      <c r="D47" s="56"/>
      <c r="E47" s="56"/>
    </row>
    <row r="48" spans="4:5" x14ac:dyDescent="0.25">
      <c r="D48" s="56"/>
      <c r="E48" s="56"/>
    </row>
    <row r="49" spans="4:5" x14ac:dyDescent="0.25">
      <c r="D49" s="56"/>
      <c r="E49" s="56"/>
    </row>
    <row r="50" spans="4:5" x14ac:dyDescent="0.25">
      <c r="D50" s="56"/>
      <c r="E50" s="56"/>
    </row>
    <row r="51" spans="4:5" x14ac:dyDescent="0.25">
      <c r="D51" s="56"/>
      <c r="E51" s="56"/>
    </row>
    <row r="55" spans="4:5" x14ac:dyDescent="0.25">
      <c r="D55" s="56"/>
      <c r="E55" s="56"/>
    </row>
    <row r="56" spans="4:5" x14ac:dyDescent="0.25">
      <c r="D56" s="56"/>
      <c r="E56" s="56"/>
    </row>
    <row r="57" spans="4:5" x14ac:dyDescent="0.25">
      <c r="D57" s="56"/>
      <c r="E57" s="56"/>
    </row>
    <row r="58" spans="4:5" x14ac:dyDescent="0.25">
      <c r="D58" s="56"/>
      <c r="E58" s="56"/>
    </row>
    <row r="59" spans="4:5" x14ac:dyDescent="0.25">
      <c r="D59" s="56"/>
      <c r="E59" s="56"/>
    </row>
    <row r="60" spans="4:5" x14ac:dyDescent="0.25">
      <c r="D60" s="56"/>
      <c r="E60" s="56"/>
    </row>
    <row r="61" spans="4:5" x14ac:dyDescent="0.25">
      <c r="D61" s="56"/>
      <c r="E61" s="56"/>
    </row>
    <row r="62" spans="4:5" x14ac:dyDescent="0.25">
      <c r="D62" s="56"/>
      <c r="E62" s="56"/>
    </row>
    <row r="63" spans="4:5" x14ac:dyDescent="0.25">
      <c r="D63" s="56"/>
      <c r="E63" s="56"/>
    </row>
    <row r="64" spans="4:5" x14ac:dyDescent="0.25">
      <c r="D64" s="56"/>
      <c r="E64" s="56"/>
    </row>
    <row r="65" spans="4:5" x14ac:dyDescent="0.25">
      <c r="D65" s="56"/>
      <c r="E65" s="56"/>
    </row>
    <row r="69" spans="4:5" x14ac:dyDescent="0.25">
      <c r="D69" s="56"/>
      <c r="E69" s="56"/>
    </row>
    <row r="70" spans="4:5" x14ac:dyDescent="0.25">
      <c r="D70" s="56"/>
      <c r="E70" s="56"/>
    </row>
    <row r="71" spans="4:5" x14ac:dyDescent="0.25">
      <c r="D71" s="56"/>
      <c r="E71" s="56"/>
    </row>
    <row r="72" spans="4:5" x14ac:dyDescent="0.25">
      <c r="D72" s="56"/>
      <c r="E72" s="56"/>
    </row>
    <row r="73" spans="4:5" x14ac:dyDescent="0.25">
      <c r="D73" s="56"/>
      <c r="E73" s="56"/>
    </row>
    <row r="74" spans="4:5" x14ac:dyDescent="0.25">
      <c r="D74" s="56"/>
      <c r="E74" s="56"/>
    </row>
    <row r="75" spans="4:5" x14ac:dyDescent="0.25">
      <c r="D75" s="56"/>
      <c r="E75" s="56"/>
    </row>
    <row r="76" spans="4:5" x14ac:dyDescent="0.25">
      <c r="D76" s="56"/>
      <c r="E76" s="56"/>
    </row>
    <row r="77" spans="4:5" x14ac:dyDescent="0.25">
      <c r="D77" s="56"/>
      <c r="E77" s="56"/>
    </row>
    <row r="78" spans="4:5" x14ac:dyDescent="0.25">
      <c r="D78" s="56"/>
      <c r="E78" s="56"/>
    </row>
    <row r="79" spans="4:5" x14ac:dyDescent="0.25">
      <c r="D79" s="56"/>
      <c r="E79" s="56"/>
    </row>
    <row r="83" spans="4:5" x14ac:dyDescent="0.25">
      <c r="D83" s="57"/>
      <c r="E83" s="57"/>
    </row>
    <row r="84" spans="4:5" x14ac:dyDescent="0.25">
      <c r="D84" s="57"/>
      <c r="E84" s="57"/>
    </row>
    <row r="85" spans="4:5" x14ac:dyDescent="0.25">
      <c r="D85" s="57"/>
      <c r="E85" s="57"/>
    </row>
    <row r="86" spans="4:5" x14ac:dyDescent="0.25">
      <c r="D86" s="57"/>
      <c r="E86" s="57"/>
    </row>
    <row r="87" spans="4:5" x14ac:dyDescent="0.25">
      <c r="D87" s="57"/>
      <c r="E87" s="57"/>
    </row>
    <row r="88" spans="4:5" x14ac:dyDescent="0.25">
      <c r="D88" s="57"/>
      <c r="E88" s="57"/>
    </row>
    <row r="89" spans="4:5" x14ac:dyDescent="0.25">
      <c r="D89" s="57"/>
      <c r="E89" s="57"/>
    </row>
    <row r="90" spans="4:5" x14ac:dyDescent="0.25">
      <c r="D90" s="57"/>
      <c r="E90" s="57"/>
    </row>
    <row r="91" spans="4:5" x14ac:dyDescent="0.25">
      <c r="D91" s="57"/>
      <c r="E91" s="57"/>
    </row>
    <row r="92" spans="4:5" x14ac:dyDescent="0.25">
      <c r="D92" s="57"/>
      <c r="E92" s="57"/>
    </row>
    <row r="93" spans="4:5" x14ac:dyDescent="0.25">
      <c r="D93" s="57"/>
      <c r="E93" s="57"/>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EAF63-063E-4AA1-AEEC-53A5D8773AD9}">
  <sheetPr>
    <tabColor theme="0" tint="-0.14999847407452621"/>
  </sheetPr>
  <dimension ref="A1:I165"/>
  <sheetViews>
    <sheetView showGridLines="0" zoomScale="80" zoomScaleNormal="80" workbookViewId="0">
      <pane xSplit="2" ySplit="1" topLeftCell="C2" activePane="bottomRight" state="frozen"/>
      <selection pane="topRight" activeCell="C1" sqref="C1"/>
      <selection pane="bottomLeft" activeCell="A2" sqref="A2"/>
      <selection pane="bottomRight" activeCell="G131" sqref="G131:G132"/>
    </sheetView>
  </sheetViews>
  <sheetFormatPr baseColWidth="10" defaultColWidth="11.42578125" defaultRowHeight="15" customHeight="1" x14ac:dyDescent="0.25"/>
  <cols>
    <col min="1" max="1" width="61.85546875" customWidth="1"/>
    <col min="2" max="2" width="13.140625" customWidth="1"/>
    <col min="3" max="3" width="53.5703125" style="13" customWidth="1"/>
    <col min="8" max="8" width="29.5703125" customWidth="1"/>
  </cols>
  <sheetData>
    <row r="1" spans="1:9" ht="31.5" x14ac:dyDescent="0.25">
      <c r="A1" s="432" t="s">
        <v>401</v>
      </c>
      <c r="B1" s="433" t="s">
        <v>385</v>
      </c>
      <c r="C1" s="434" t="s">
        <v>386</v>
      </c>
    </row>
    <row r="2" spans="1:9" x14ac:dyDescent="0.25">
      <c r="A2" s="71" t="s">
        <v>402</v>
      </c>
      <c r="B2" s="393" t="s">
        <v>66</v>
      </c>
      <c r="C2" s="545">
        <v>400</v>
      </c>
    </row>
    <row r="3" spans="1:9" x14ac:dyDescent="0.25">
      <c r="A3" s="71" t="s">
        <v>403</v>
      </c>
      <c r="B3" s="393" t="s">
        <v>66</v>
      </c>
      <c r="C3" s="545">
        <v>500</v>
      </c>
    </row>
    <row r="4" spans="1:9" x14ac:dyDescent="0.25">
      <c r="A4" s="71" t="s">
        <v>404</v>
      </c>
      <c r="B4" s="393" t="s">
        <v>66</v>
      </c>
      <c r="C4" s="545">
        <v>600</v>
      </c>
    </row>
    <row r="5" spans="1:9" x14ac:dyDescent="0.25">
      <c r="A5" s="71" t="s">
        <v>405</v>
      </c>
      <c r="B5" s="393" t="s">
        <v>66</v>
      </c>
      <c r="C5" s="545">
        <v>900</v>
      </c>
    </row>
    <row r="6" spans="1:9" x14ac:dyDescent="0.25">
      <c r="A6" s="394" t="s">
        <v>406</v>
      </c>
      <c r="B6" s="395" t="s">
        <v>66</v>
      </c>
      <c r="C6" s="546">
        <v>1200</v>
      </c>
    </row>
    <row r="7" spans="1:9" x14ac:dyDescent="0.25">
      <c r="A7" s="49" t="s">
        <v>407</v>
      </c>
      <c r="B7" s="393" t="s">
        <v>66</v>
      </c>
      <c r="C7" s="545">
        <v>1500</v>
      </c>
    </row>
    <row r="8" spans="1:9" x14ac:dyDescent="0.25">
      <c r="A8" s="49" t="s">
        <v>408</v>
      </c>
      <c r="B8" s="393" t="s">
        <v>66</v>
      </c>
      <c r="C8" s="545">
        <v>1600</v>
      </c>
    </row>
    <row r="9" spans="1:9" x14ac:dyDescent="0.25">
      <c r="A9" s="344" t="s">
        <v>409</v>
      </c>
      <c r="B9" s="393" t="s">
        <v>66</v>
      </c>
      <c r="C9" s="545">
        <v>1900</v>
      </c>
    </row>
    <row r="10" spans="1:9" x14ac:dyDescent="0.25">
      <c r="A10" s="49" t="s">
        <v>410</v>
      </c>
      <c r="B10" s="395" t="s">
        <v>66</v>
      </c>
      <c r="C10" s="546">
        <v>650</v>
      </c>
    </row>
    <row r="11" spans="1:9" x14ac:dyDescent="0.25">
      <c r="A11" s="71" t="s">
        <v>411</v>
      </c>
      <c r="B11" s="393" t="s">
        <v>66</v>
      </c>
      <c r="C11" s="545">
        <v>750</v>
      </c>
    </row>
    <row r="12" spans="1:9" x14ac:dyDescent="0.25">
      <c r="A12" s="71" t="s">
        <v>412</v>
      </c>
      <c r="B12" s="393" t="s">
        <v>66</v>
      </c>
      <c r="C12" s="545">
        <v>950</v>
      </c>
    </row>
    <row r="13" spans="1:9" x14ac:dyDescent="0.25">
      <c r="A13" s="71" t="s">
        <v>413</v>
      </c>
      <c r="B13" s="396" t="s">
        <v>66</v>
      </c>
      <c r="C13" s="545">
        <v>1200</v>
      </c>
    </row>
    <row r="14" spans="1:9" x14ac:dyDescent="0.25">
      <c r="A14" s="394" t="s">
        <v>414</v>
      </c>
      <c r="B14" s="393" t="s">
        <v>66</v>
      </c>
      <c r="C14" s="546">
        <v>1500</v>
      </c>
    </row>
    <row r="15" spans="1:9" x14ac:dyDescent="0.25">
      <c r="A15" s="49" t="s">
        <v>415</v>
      </c>
      <c r="B15" s="393" t="s">
        <v>66</v>
      </c>
      <c r="C15" s="545">
        <v>1850</v>
      </c>
      <c r="D15" s="109"/>
      <c r="E15" s="109"/>
      <c r="F15" s="109"/>
      <c r="G15" s="192"/>
      <c r="H15" s="192"/>
      <c r="I15" s="192"/>
    </row>
    <row r="16" spans="1:9" x14ac:dyDescent="0.25">
      <c r="A16" s="49" t="s">
        <v>416</v>
      </c>
      <c r="B16" s="393" t="s">
        <v>66</v>
      </c>
      <c r="C16" s="545">
        <v>1980</v>
      </c>
      <c r="D16" s="109"/>
      <c r="E16" s="109"/>
      <c r="F16" s="109"/>
      <c r="G16" s="109"/>
      <c r="H16" s="109"/>
      <c r="I16" s="109"/>
    </row>
    <row r="17" spans="1:9" x14ac:dyDescent="0.25">
      <c r="A17" s="49" t="s">
        <v>417</v>
      </c>
      <c r="B17" s="393" t="s">
        <v>66</v>
      </c>
      <c r="C17" s="545">
        <v>2300</v>
      </c>
      <c r="D17" s="109"/>
      <c r="E17" s="109"/>
      <c r="F17" s="109"/>
      <c r="G17" s="193"/>
      <c r="H17" s="109"/>
      <c r="I17" s="193"/>
    </row>
    <row r="18" spans="1:9" x14ac:dyDescent="0.25">
      <c r="A18" s="380" t="s">
        <v>418</v>
      </c>
      <c r="B18" s="395" t="s">
        <v>66</v>
      </c>
      <c r="C18" s="546">
        <v>3500</v>
      </c>
      <c r="D18" s="109"/>
      <c r="E18" s="109"/>
      <c r="F18" s="109"/>
      <c r="G18" s="193"/>
      <c r="H18" s="109"/>
      <c r="I18" s="193"/>
    </row>
    <row r="19" spans="1:9" x14ac:dyDescent="0.25">
      <c r="A19" s="349" t="s">
        <v>419</v>
      </c>
      <c r="B19" s="393" t="s">
        <v>66</v>
      </c>
      <c r="C19" s="545">
        <v>3900</v>
      </c>
      <c r="D19" s="109"/>
      <c r="E19" s="109"/>
      <c r="F19" s="109"/>
      <c r="G19" s="193"/>
      <c r="H19" s="109"/>
      <c r="I19" s="193"/>
    </row>
    <row r="20" spans="1:9" x14ac:dyDescent="0.25">
      <c r="A20" s="349" t="s">
        <v>420</v>
      </c>
      <c r="B20" s="393" t="s">
        <v>66</v>
      </c>
      <c r="C20" s="545">
        <v>4400</v>
      </c>
      <c r="D20" s="109"/>
      <c r="E20" s="109"/>
      <c r="F20" s="109"/>
      <c r="G20" s="193"/>
      <c r="H20" s="109"/>
      <c r="I20" s="193"/>
    </row>
    <row r="21" spans="1:9" x14ac:dyDescent="0.25">
      <c r="A21" s="349" t="s">
        <v>421</v>
      </c>
      <c r="B21" s="393" t="s">
        <v>66</v>
      </c>
      <c r="C21" s="545">
        <v>5600</v>
      </c>
      <c r="D21" s="109"/>
      <c r="E21" s="109"/>
      <c r="F21" s="109"/>
      <c r="G21" s="109"/>
      <c r="H21" s="109"/>
      <c r="I21" s="109"/>
    </row>
    <row r="22" spans="1:9" x14ac:dyDescent="0.25">
      <c r="A22" s="349" t="s">
        <v>422</v>
      </c>
      <c r="B22" s="393" t="s">
        <v>66</v>
      </c>
      <c r="C22" s="545">
        <v>7520</v>
      </c>
      <c r="D22" s="109"/>
      <c r="E22" s="109"/>
      <c r="F22" s="109"/>
      <c r="G22" s="109"/>
      <c r="H22" s="109"/>
      <c r="I22" s="109"/>
    </row>
    <row r="23" spans="1:9" x14ac:dyDescent="0.25">
      <c r="A23" s="349" t="s">
        <v>423</v>
      </c>
      <c r="B23" s="393" t="s">
        <v>66</v>
      </c>
      <c r="C23" s="545">
        <v>9000</v>
      </c>
      <c r="D23" s="109"/>
      <c r="E23" s="109"/>
      <c r="F23" s="109"/>
      <c r="G23" s="109"/>
      <c r="H23" s="109"/>
      <c r="I23" s="109"/>
    </row>
    <row r="24" spans="1:9" x14ac:dyDescent="0.25">
      <c r="A24" s="306" t="s">
        <v>424</v>
      </c>
      <c r="B24" s="395" t="s">
        <v>66</v>
      </c>
      <c r="C24" s="546">
        <v>10500</v>
      </c>
    </row>
    <row r="25" spans="1:9" x14ac:dyDescent="0.25">
      <c r="A25" s="71" t="s">
        <v>425</v>
      </c>
      <c r="B25" s="393" t="s">
        <v>66</v>
      </c>
      <c r="C25" s="545">
        <v>11700</v>
      </c>
    </row>
    <row r="26" spans="1:9" x14ac:dyDescent="0.25">
      <c r="A26" s="71" t="s">
        <v>426</v>
      </c>
      <c r="B26" s="393" t="s">
        <v>66</v>
      </c>
      <c r="C26" s="545">
        <v>13200</v>
      </c>
    </row>
    <row r="27" spans="1:9" x14ac:dyDescent="0.25">
      <c r="A27" s="71" t="s">
        <v>427</v>
      </c>
      <c r="B27" s="393" t="s">
        <v>66</v>
      </c>
      <c r="C27" s="545">
        <v>16800</v>
      </c>
    </row>
    <row r="28" spans="1:9" x14ac:dyDescent="0.25">
      <c r="A28" s="71" t="s">
        <v>428</v>
      </c>
      <c r="B28" s="393" t="s">
        <v>66</v>
      </c>
      <c r="C28" s="545">
        <v>22560</v>
      </c>
    </row>
    <row r="29" spans="1:9" x14ac:dyDescent="0.25">
      <c r="A29" s="71" t="s">
        <v>429</v>
      </c>
      <c r="B29" s="393" t="s">
        <v>66</v>
      </c>
      <c r="C29" s="545">
        <v>27000</v>
      </c>
    </row>
    <row r="30" spans="1:9" ht="17.25" x14ac:dyDescent="0.25">
      <c r="A30" s="306" t="s">
        <v>430</v>
      </c>
      <c r="B30" s="395" t="s">
        <v>66</v>
      </c>
      <c r="C30" s="546">
        <v>1950</v>
      </c>
    </row>
    <row r="31" spans="1:9" ht="17.25" x14ac:dyDescent="0.25">
      <c r="A31" s="71" t="s">
        <v>431</v>
      </c>
      <c r="B31" s="393" t="s">
        <v>66</v>
      </c>
      <c r="C31" s="545">
        <v>2200</v>
      </c>
    </row>
    <row r="32" spans="1:9" ht="17.25" x14ac:dyDescent="0.25">
      <c r="A32" s="71" t="s">
        <v>432</v>
      </c>
      <c r="B32" s="393" t="s">
        <v>66</v>
      </c>
      <c r="C32" s="545">
        <v>2800</v>
      </c>
    </row>
    <row r="33" spans="1:3" ht="17.25" x14ac:dyDescent="0.25">
      <c r="A33" s="71" t="s">
        <v>433</v>
      </c>
      <c r="B33" s="393" t="s">
        <v>66</v>
      </c>
      <c r="C33" s="545">
        <v>3824</v>
      </c>
    </row>
    <row r="34" spans="1:3" ht="17.25" x14ac:dyDescent="0.25">
      <c r="A34" s="71" t="s">
        <v>434</v>
      </c>
      <c r="B34" s="393" t="s">
        <v>66</v>
      </c>
      <c r="C34" s="545">
        <v>5431</v>
      </c>
    </row>
    <row r="35" spans="1:3" ht="17.25" x14ac:dyDescent="0.25">
      <c r="A35" s="71" t="s">
        <v>435</v>
      </c>
      <c r="B35" s="393" t="s">
        <v>66</v>
      </c>
      <c r="C35" s="545">
        <v>9763</v>
      </c>
    </row>
    <row r="36" spans="1:3" ht="17.25" x14ac:dyDescent="0.25">
      <c r="A36" s="71" t="s">
        <v>436</v>
      </c>
      <c r="B36" s="393" t="s">
        <v>66</v>
      </c>
      <c r="C36" s="545">
        <v>15782</v>
      </c>
    </row>
    <row r="37" spans="1:3" ht="17.25" x14ac:dyDescent="0.25">
      <c r="A37" s="71" t="s">
        <v>437</v>
      </c>
      <c r="B37" s="393" t="s">
        <v>66</v>
      </c>
      <c r="C37" s="545">
        <v>19250</v>
      </c>
    </row>
    <row r="38" spans="1:3" ht="17.25" x14ac:dyDescent="0.25">
      <c r="A38" s="71" t="s">
        <v>438</v>
      </c>
      <c r="B38" s="393" t="s">
        <v>66</v>
      </c>
      <c r="C38" s="545">
        <v>29536</v>
      </c>
    </row>
    <row r="39" spans="1:3" x14ac:dyDescent="0.25">
      <c r="A39" s="306" t="s">
        <v>439</v>
      </c>
      <c r="B39" s="395" t="s">
        <v>440</v>
      </c>
      <c r="C39" s="546">
        <v>150</v>
      </c>
    </row>
    <row r="40" spans="1:3" x14ac:dyDescent="0.25">
      <c r="A40" s="71" t="s">
        <v>441</v>
      </c>
      <c r="B40" s="393" t="s">
        <v>440</v>
      </c>
      <c r="C40" s="545">
        <v>180</v>
      </c>
    </row>
    <row r="41" spans="1:3" x14ac:dyDescent="0.25">
      <c r="A41" s="71" t="s">
        <v>442</v>
      </c>
      <c r="B41" s="393" t="s">
        <v>440</v>
      </c>
      <c r="C41" s="545">
        <v>295</v>
      </c>
    </row>
    <row r="42" spans="1:3" x14ac:dyDescent="0.25">
      <c r="A42" s="71" t="s">
        <v>443</v>
      </c>
      <c r="B42" s="393" t="s">
        <v>440</v>
      </c>
      <c r="C42" s="545">
        <v>390</v>
      </c>
    </row>
    <row r="43" spans="1:3" x14ac:dyDescent="0.25">
      <c r="A43" s="71" t="s">
        <v>444</v>
      </c>
      <c r="B43" s="393" t="s">
        <v>440</v>
      </c>
      <c r="C43" s="545">
        <v>475</v>
      </c>
    </row>
    <row r="44" spans="1:3" x14ac:dyDescent="0.25">
      <c r="A44" s="71" t="s">
        <v>445</v>
      </c>
      <c r="B44" s="393" t="s">
        <v>440</v>
      </c>
      <c r="C44" s="545">
        <v>600</v>
      </c>
    </row>
    <row r="45" spans="1:3" x14ac:dyDescent="0.25">
      <c r="A45" s="306" t="s">
        <v>446</v>
      </c>
      <c r="B45" s="395" t="s">
        <v>66</v>
      </c>
      <c r="C45" s="546">
        <v>12598</v>
      </c>
    </row>
    <row r="46" spans="1:3" x14ac:dyDescent="0.25">
      <c r="A46" s="71" t="s">
        <v>447</v>
      </c>
      <c r="B46" s="393" t="s">
        <v>66</v>
      </c>
      <c r="C46" s="545">
        <v>16220</v>
      </c>
    </row>
    <row r="47" spans="1:3" x14ac:dyDescent="0.25">
      <c r="A47" s="71" t="s">
        <v>448</v>
      </c>
      <c r="B47" s="393" t="s">
        <v>66</v>
      </c>
      <c r="C47" s="545">
        <v>18220</v>
      </c>
    </row>
    <row r="48" spans="1:3" x14ac:dyDescent="0.25">
      <c r="A48" s="71" t="s">
        <v>449</v>
      </c>
      <c r="B48" s="393" t="s">
        <v>66</v>
      </c>
      <c r="C48" s="545">
        <v>20650</v>
      </c>
    </row>
    <row r="49" spans="1:9" x14ac:dyDescent="0.25">
      <c r="A49" s="71" t="s">
        <v>450</v>
      </c>
      <c r="B49" s="393" t="s">
        <v>66</v>
      </c>
      <c r="C49" s="545">
        <v>28252</v>
      </c>
    </row>
    <row r="50" spans="1:9" x14ac:dyDescent="0.25">
      <c r="A50" s="71" t="s">
        <v>451</v>
      </c>
      <c r="B50" s="393" t="s">
        <v>66</v>
      </c>
      <c r="C50" s="545">
        <v>32563</v>
      </c>
      <c r="F50" s="192"/>
      <c r="G50" s="192"/>
      <c r="H50" s="192"/>
      <c r="I50" s="192"/>
    </row>
    <row r="51" spans="1:9" x14ac:dyDescent="0.25">
      <c r="A51" s="71" t="s">
        <v>452</v>
      </c>
      <c r="B51" s="393" t="s">
        <v>66</v>
      </c>
      <c r="C51" s="545">
        <v>41250</v>
      </c>
      <c r="F51" s="109"/>
      <c r="G51" s="109"/>
      <c r="H51" s="109"/>
      <c r="I51" s="109"/>
    </row>
    <row r="52" spans="1:9" x14ac:dyDescent="0.25">
      <c r="A52" s="306" t="s">
        <v>453</v>
      </c>
      <c r="B52" s="395" t="s">
        <v>66</v>
      </c>
      <c r="C52" s="546">
        <v>6875</v>
      </c>
      <c r="F52" s="109"/>
      <c r="G52" s="109"/>
      <c r="H52" s="109"/>
      <c r="I52" s="193"/>
    </row>
    <row r="53" spans="1:9" x14ac:dyDescent="0.25">
      <c r="A53" s="71" t="s">
        <v>454</v>
      </c>
      <c r="B53" s="393" t="s">
        <v>66</v>
      </c>
      <c r="C53" s="545">
        <v>8221</v>
      </c>
      <c r="F53" s="109"/>
      <c r="G53" s="109"/>
      <c r="H53" s="109"/>
      <c r="I53" s="193"/>
    </row>
    <row r="54" spans="1:9" x14ac:dyDescent="0.25">
      <c r="A54" s="71" t="s">
        <v>455</v>
      </c>
      <c r="B54" s="393" t="s">
        <v>66</v>
      </c>
      <c r="C54" s="545">
        <v>9785</v>
      </c>
      <c r="F54" s="109"/>
      <c r="G54" s="109"/>
      <c r="H54" s="109"/>
      <c r="I54" s="193"/>
    </row>
    <row r="55" spans="1:9" x14ac:dyDescent="0.25">
      <c r="A55" s="71" t="s">
        <v>456</v>
      </c>
      <c r="B55" s="393" t="s">
        <v>66</v>
      </c>
      <c r="C55" s="545">
        <v>11275</v>
      </c>
      <c r="F55" s="109"/>
      <c r="G55" s="109"/>
      <c r="H55" s="109"/>
      <c r="I55" s="193"/>
    </row>
    <row r="56" spans="1:9" x14ac:dyDescent="0.25">
      <c r="A56" s="306" t="s">
        <v>457</v>
      </c>
      <c r="B56" s="395" t="s">
        <v>66</v>
      </c>
      <c r="C56" s="546">
        <v>16000</v>
      </c>
      <c r="F56" s="109"/>
      <c r="G56" s="109"/>
      <c r="H56" s="109"/>
    </row>
    <row r="57" spans="1:9" x14ac:dyDescent="0.25">
      <c r="A57" s="71" t="s">
        <v>458</v>
      </c>
      <c r="B57" s="393" t="s">
        <v>66</v>
      </c>
      <c r="C57" s="545">
        <v>20000</v>
      </c>
      <c r="F57" s="109"/>
      <c r="G57" s="109"/>
      <c r="H57" s="109"/>
    </row>
    <row r="58" spans="1:9" x14ac:dyDescent="0.25">
      <c r="A58" s="71" t="s">
        <v>459</v>
      </c>
      <c r="B58" s="393" t="s">
        <v>66</v>
      </c>
      <c r="C58" s="545">
        <v>24000</v>
      </c>
      <c r="F58" s="109"/>
      <c r="G58" s="109"/>
      <c r="H58" s="109"/>
    </row>
    <row r="59" spans="1:9" x14ac:dyDescent="0.25">
      <c r="A59" s="306" t="s">
        <v>460</v>
      </c>
      <c r="B59" s="395" t="s">
        <v>66</v>
      </c>
      <c r="C59" s="546">
        <v>2500</v>
      </c>
      <c r="F59" s="109"/>
    </row>
    <row r="60" spans="1:9" x14ac:dyDescent="0.25">
      <c r="A60" s="71" t="s">
        <v>461</v>
      </c>
      <c r="B60" s="393" t="s">
        <v>66</v>
      </c>
      <c r="C60" s="545">
        <v>3250</v>
      </c>
      <c r="F60" s="109"/>
    </row>
    <row r="61" spans="1:9" x14ac:dyDescent="0.25">
      <c r="A61" s="71" t="s">
        <v>462</v>
      </c>
      <c r="B61" s="393" t="s">
        <v>66</v>
      </c>
      <c r="C61" s="545">
        <v>4000</v>
      </c>
      <c r="F61" s="109"/>
    </row>
    <row r="62" spans="1:9" x14ac:dyDescent="0.25">
      <c r="A62" s="71" t="s">
        <v>463</v>
      </c>
      <c r="B62" s="393" t="s">
        <v>66</v>
      </c>
      <c r="C62" s="545">
        <v>4750</v>
      </c>
      <c r="F62" s="109"/>
    </row>
    <row r="63" spans="1:9" x14ac:dyDescent="0.25">
      <c r="A63" s="71" t="s">
        <v>464</v>
      </c>
      <c r="B63" s="393" t="s">
        <v>66</v>
      </c>
      <c r="C63" s="545">
        <v>5500</v>
      </c>
      <c r="F63" s="109"/>
    </row>
    <row r="64" spans="1:9" x14ac:dyDescent="0.25">
      <c r="A64" s="71" t="s">
        <v>465</v>
      </c>
      <c r="B64" s="393" t="s">
        <v>66</v>
      </c>
      <c r="C64" s="545">
        <v>6250</v>
      </c>
      <c r="F64" s="109"/>
    </row>
    <row r="65" spans="1:7" x14ac:dyDescent="0.25">
      <c r="A65" s="306" t="s">
        <v>466</v>
      </c>
      <c r="B65" s="395" t="s">
        <v>66</v>
      </c>
      <c r="C65" s="546">
        <v>1150</v>
      </c>
      <c r="F65" s="109"/>
    </row>
    <row r="66" spans="1:7" x14ac:dyDescent="0.25">
      <c r="A66" s="71" t="s">
        <v>467</v>
      </c>
      <c r="B66" s="393" t="s">
        <v>66</v>
      </c>
      <c r="C66" s="545">
        <v>2350</v>
      </c>
      <c r="F66" s="109"/>
    </row>
    <row r="67" spans="1:7" x14ac:dyDescent="0.25">
      <c r="A67" s="71" t="s">
        <v>468</v>
      </c>
      <c r="B67" s="393" t="s">
        <v>66</v>
      </c>
      <c r="C67" s="545">
        <v>4960</v>
      </c>
      <c r="F67" s="109"/>
    </row>
    <row r="68" spans="1:7" x14ac:dyDescent="0.25">
      <c r="A68" s="71" t="s">
        <v>469</v>
      </c>
      <c r="B68" s="393" t="s">
        <v>66</v>
      </c>
      <c r="C68" s="545">
        <v>6900</v>
      </c>
      <c r="F68" s="109"/>
    </row>
    <row r="69" spans="1:7" x14ac:dyDescent="0.25">
      <c r="A69" s="71" t="s">
        <v>470</v>
      </c>
      <c r="B69" s="393" t="s">
        <v>66</v>
      </c>
      <c r="C69" s="545">
        <v>15200</v>
      </c>
      <c r="F69" s="109"/>
    </row>
    <row r="70" spans="1:7" x14ac:dyDescent="0.25">
      <c r="A70" s="306" t="s">
        <v>471</v>
      </c>
      <c r="B70" s="395" t="s">
        <v>66</v>
      </c>
      <c r="C70" s="546">
        <v>20.22</v>
      </c>
      <c r="F70" s="109"/>
    </row>
    <row r="71" spans="1:7" x14ac:dyDescent="0.25">
      <c r="A71" s="71" t="s">
        <v>472</v>
      </c>
      <c r="B71" s="393" t="s">
        <v>66</v>
      </c>
      <c r="C71" s="545">
        <v>35.5</v>
      </c>
      <c r="F71" s="109"/>
    </row>
    <row r="72" spans="1:7" x14ac:dyDescent="0.25">
      <c r="A72" s="71" t="s">
        <v>473</v>
      </c>
      <c r="B72" s="393" t="s">
        <v>66</v>
      </c>
      <c r="C72" s="545">
        <v>49.8</v>
      </c>
      <c r="F72" s="109"/>
    </row>
    <row r="73" spans="1:7" ht="17.25" x14ac:dyDescent="0.25">
      <c r="A73" s="306" t="s">
        <v>474</v>
      </c>
      <c r="B73" s="395" t="s">
        <v>66</v>
      </c>
      <c r="C73" s="546">
        <v>1300</v>
      </c>
      <c r="F73" s="109"/>
    </row>
    <row r="74" spans="1:7" ht="17.25" x14ac:dyDescent="0.25">
      <c r="A74" s="71" t="s">
        <v>475</v>
      </c>
      <c r="B74" s="393" t="s">
        <v>66</v>
      </c>
      <c r="C74" s="545">
        <v>1335</v>
      </c>
      <c r="F74" s="109"/>
    </row>
    <row r="75" spans="1:7" ht="17.25" x14ac:dyDescent="0.25">
      <c r="A75" s="71" t="s">
        <v>476</v>
      </c>
      <c r="B75" s="393" t="s">
        <v>66</v>
      </c>
      <c r="C75" s="545">
        <v>1550</v>
      </c>
      <c r="F75" s="109"/>
    </row>
    <row r="76" spans="1:7" ht="17.25" x14ac:dyDescent="0.25">
      <c r="A76" s="71" t="s">
        <v>477</v>
      </c>
      <c r="B76" s="393" t="s">
        <v>66</v>
      </c>
      <c r="C76" s="545">
        <v>1700</v>
      </c>
      <c r="F76" s="109"/>
    </row>
    <row r="77" spans="1:7" x14ac:dyDescent="0.25">
      <c r="A77" s="306" t="s">
        <v>478</v>
      </c>
      <c r="B77" s="395" t="s">
        <v>66</v>
      </c>
      <c r="C77" s="546">
        <v>32</v>
      </c>
      <c r="F77" s="109"/>
    </row>
    <row r="78" spans="1:7" x14ac:dyDescent="0.25">
      <c r="A78" s="71" t="s">
        <v>479</v>
      </c>
      <c r="B78" s="393" t="s">
        <v>66</v>
      </c>
      <c r="C78" s="545">
        <v>60</v>
      </c>
      <c r="F78" s="109"/>
    </row>
    <row r="79" spans="1:7" x14ac:dyDescent="0.25">
      <c r="A79" s="306" t="s">
        <v>480</v>
      </c>
      <c r="B79" s="395" t="s">
        <v>66</v>
      </c>
      <c r="C79" s="546">
        <v>1200</v>
      </c>
    </row>
    <row r="80" spans="1:7" x14ac:dyDescent="0.25">
      <c r="A80" s="71" t="s">
        <v>481</v>
      </c>
      <c r="B80" s="393" t="s">
        <v>66</v>
      </c>
      <c r="C80" s="545">
        <v>1400</v>
      </c>
      <c r="F80" s="192"/>
      <c r="G80" s="109"/>
    </row>
    <row r="81" spans="1:7" x14ac:dyDescent="0.25">
      <c r="A81" s="71" t="s">
        <v>482</v>
      </c>
      <c r="B81" s="393" t="s">
        <v>66</v>
      </c>
      <c r="C81" s="545">
        <v>1600</v>
      </c>
      <c r="F81" s="109"/>
      <c r="G81" s="109"/>
    </row>
    <row r="82" spans="1:7" x14ac:dyDescent="0.25">
      <c r="A82" s="71" t="s">
        <v>483</v>
      </c>
      <c r="B82" s="393" t="s">
        <v>66</v>
      </c>
      <c r="C82" s="545">
        <v>1950</v>
      </c>
      <c r="F82" s="109"/>
      <c r="G82" s="193"/>
    </row>
    <row r="83" spans="1:7" x14ac:dyDescent="0.25">
      <c r="A83" s="71" t="s">
        <v>484</v>
      </c>
      <c r="B83" s="393" t="s">
        <v>66</v>
      </c>
      <c r="C83" s="545">
        <v>2000</v>
      </c>
      <c r="F83" s="109"/>
      <c r="G83" s="193"/>
    </row>
    <row r="84" spans="1:7" x14ac:dyDescent="0.25">
      <c r="A84" s="71" t="s">
        <v>485</v>
      </c>
      <c r="B84" s="393" t="s">
        <v>66</v>
      </c>
      <c r="C84" s="545">
        <v>2200</v>
      </c>
      <c r="F84" s="109"/>
      <c r="G84" s="193"/>
    </row>
    <row r="85" spans="1:7" x14ac:dyDescent="0.25">
      <c r="A85" s="306" t="s">
        <v>486</v>
      </c>
      <c r="B85" s="395" t="s">
        <v>66</v>
      </c>
      <c r="C85" s="546">
        <v>534</v>
      </c>
      <c r="F85" s="109"/>
      <c r="G85" s="193"/>
    </row>
    <row r="86" spans="1:7" x14ac:dyDescent="0.25">
      <c r="A86" s="71" t="s">
        <v>487</v>
      </c>
      <c r="B86" s="393" t="s">
        <v>66</v>
      </c>
      <c r="C86" s="545">
        <v>655</v>
      </c>
      <c r="F86" s="109"/>
      <c r="G86" s="109"/>
    </row>
    <row r="87" spans="1:7" x14ac:dyDescent="0.25">
      <c r="A87" s="71" t="s">
        <v>488</v>
      </c>
      <c r="B87" s="393" t="s">
        <v>66</v>
      </c>
      <c r="C87" s="545">
        <v>1530</v>
      </c>
      <c r="F87" s="192"/>
      <c r="G87" s="192"/>
    </row>
    <row r="88" spans="1:7" x14ac:dyDescent="0.25">
      <c r="A88" s="71" t="s">
        <v>489</v>
      </c>
      <c r="B88" s="393" t="s">
        <v>66</v>
      </c>
      <c r="C88" s="545">
        <v>3638</v>
      </c>
      <c r="F88" s="109"/>
      <c r="G88" s="109"/>
    </row>
    <row r="89" spans="1:7" x14ac:dyDescent="0.25">
      <c r="A89" s="71" t="s">
        <v>490</v>
      </c>
      <c r="B89" s="393" t="s">
        <v>66</v>
      </c>
      <c r="C89" s="545">
        <v>4925</v>
      </c>
      <c r="F89" s="193"/>
      <c r="G89" s="193"/>
    </row>
    <row r="90" spans="1:7" x14ac:dyDescent="0.25">
      <c r="A90" s="71" t="s">
        <v>491</v>
      </c>
      <c r="B90" s="393" t="s">
        <v>66</v>
      </c>
      <c r="C90" s="545">
        <v>6275</v>
      </c>
      <c r="F90" s="193"/>
      <c r="G90" s="193"/>
    </row>
    <row r="91" spans="1:7" x14ac:dyDescent="0.25">
      <c r="A91" s="306" t="s">
        <v>492</v>
      </c>
      <c r="B91" s="395" t="s">
        <v>66</v>
      </c>
      <c r="C91" s="546">
        <v>4534</v>
      </c>
      <c r="F91" s="193"/>
      <c r="G91" s="193"/>
    </row>
    <row r="92" spans="1:7" x14ac:dyDescent="0.25">
      <c r="A92" s="71" t="s">
        <v>493</v>
      </c>
      <c r="B92" s="393" t="s">
        <v>66</v>
      </c>
      <c r="C92" s="545">
        <v>4655</v>
      </c>
      <c r="F92" s="193"/>
      <c r="G92" s="193"/>
    </row>
    <row r="93" spans="1:7" x14ac:dyDescent="0.25">
      <c r="A93" s="71" t="s">
        <v>494</v>
      </c>
      <c r="B93" s="393" t="s">
        <v>66</v>
      </c>
      <c r="C93" s="545">
        <v>5530</v>
      </c>
      <c r="F93" s="193"/>
      <c r="G93" s="193"/>
    </row>
    <row r="94" spans="1:7" x14ac:dyDescent="0.25">
      <c r="A94" s="71" t="s">
        <v>495</v>
      </c>
      <c r="B94" s="393" t="s">
        <v>66</v>
      </c>
      <c r="C94" s="545">
        <v>7638</v>
      </c>
      <c r="F94" s="193"/>
      <c r="G94" s="193"/>
    </row>
    <row r="95" spans="1:7" x14ac:dyDescent="0.25">
      <c r="A95" s="71" t="s">
        <v>496</v>
      </c>
      <c r="B95" s="393" t="s">
        <v>66</v>
      </c>
      <c r="C95" s="545">
        <v>8925</v>
      </c>
      <c r="F95" s="193"/>
      <c r="G95" s="193"/>
    </row>
    <row r="96" spans="1:7" x14ac:dyDescent="0.25">
      <c r="A96" s="71" t="s">
        <v>497</v>
      </c>
      <c r="B96" s="393" t="s">
        <v>66</v>
      </c>
      <c r="C96" s="545">
        <v>10275</v>
      </c>
    </row>
    <row r="97" spans="1:3" ht="15.75" customHeight="1" x14ac:dyDescent="0.25">
      <c r="A97" s="306" t="s">
        <v>498</v>
      </c>
      <c r="B97" s="395" t="s">
        <v>66</v>
      </c>
      <c r="C97" s="546">
        <v>995</v>
      </c>
    </row>
    <row r="98" spans="1:3" ht="17.25" x14ac:dyDescent="0.25">
      <c r="A98" s="71" t="s">
        <v>499</v>
      </c>
      <c r="B98" s="393" t="s">
        <v>66</v>
      </c>
      <c r="C98" s="545">
        <v>1025</v>
      </c>
    </row>
    <row r="99" spans="1:3" ht="17.25" x14ac:dyDescent="0.25">
      <c r="A99" s="71" t="s">
        <v>500</v>
      </c>
      <c r="B99" s="393" t="s">
        <v>66</v>
      </c>
      <c r="C99" s="545">
        <v>1100</v>
      </c>
    </row>
    <row r="100" spans="1:3" ht="17.25" x14ac:dyDescent="0.25">
      <c r="A100" s="71" t="s">
        <v>501</v>
      </c>
      <c r="B100" s="393" t="s">
        <v>66</v>
      </c>
      <c r="C100" s="545">
        <v>1600</v>
      </c>
    </row>
    <row r="101" spans="1:3" ht="17.25" x14ac:dyDescent="0.25">
      <c r="A101" s="71" t="s">
        <v>502</v>
      </c>
      <c r="B101" s="393" t="s">
        <v>66</v>
      </c>
      <c r="C101" s="545">
        <v>2000</v>
      </c>
    </row>
    <row r="102" spans="1:3" ht="17.25" x14ac:dyDescent="0.25">
      <c r="A102" s="71" t="s">
        <v>503</v>
      </c>
      <c r="B102" s="393" t="s">
        <v>66</v>
      </c>
      <c r="C102" s="545">
        <v>2600</v>
      </c>
    </row>
    <row r="103" spans="1:3" ht="17.25" x14ac:dyDescent="0.25">
      <c r="A103" s="71" t="s">
        <v>504</v>
      </c>
      <c r="B103" s="393" t="s">
        <v>66</v>
      </c>
      <c r="C103" s="545">
        <v>2800</v>
      </c>
    </row>
    <row r="104" spans="1:3" ht="17.25" x14ac:dyDescent="0.25">
      <c r="A104" s="71" t="s">
        <v>505</v>
      </c>
      <c r="B104" s="393" t="s">
        <v>66</v>
      </c>
      <c r="C104" s="545">
        <v>3200</v>
      </c>
    </row>
    <row r="105" spans="1:3" ht="17.25" x14ac:dyDescent="0.25">
      <c r="A105" s="71" t="s">
        <v>506</v>
      </c>
      <c r="B105" s="393" t="s">
        <v>66</v>
      </c>
      <c r="C105" s="545">
        <v>2800</v>
      </c>
    </row>
    <row r="106" spans="1:3" ht="17.25" x14ac:dyDescent="0.25">
      <c r="A106" s="71" t="s">
        <v>507</v>
      </c>
      <c r="B106" s="393" t="s">
        <v>66</v>
      </c>
      <c r="C106" s="545">
        <v>3200</v>
      </c>
    </row>
    <row r="107" spans="1:3" ht="17.25" x14ac:dyDescent="0.25">
      <c r="A107" s="71" t="s">
        <v>508</v>
      </c>
      <c r="B107" s="393" t="s">
        <v>66</v>
      </c>
      <c r="C107" s="545">
        <v>4200</v>
      </c>
    </row>
    <row r="108" spans="1:3" ht="17.25" x14ac:dyDescent="0.25">
      <c r="A108" s="71" t="s">
        <v>509</v>
      </c>
      <c r="B108" s="393" t="s">
        <v>66</v>
      </c>
      <c r="C108" s="545">
        <v>3200</v>
      </c>
    </row>
    <row r="109" spans="1:3" ht="17.25" x14ac:dyDescent="0.25">
      <c r="A109" s="460" t="s">
        <v>510</v>
      </c>
      <c r="B109" s="393" t="s">
        <v>66</v>
      </c>
      <c r="C109" s="545">
        <v>4200</v>
      </c>
    </row>
    <row r="110" spans="1:3" ht="17.25" x14ac:dyDescent="0.25">
      <c r="A110" s="71" t="s">
        <v>511</v>
      </c>
      <c r="B110" s="393" t="s">
        <v>66</v>
      </c>
      <c r="C110" s="545">
        <v>8200</v>
      </c>
    </row>
    <row r="111" spans="1:3" ht="17.25" x14ac:dyDescent="0.25">
      <c r="A111" s="71" t="s">
        <v>512</v>
      </c>
      <c r="B111" s="393" t="s">
        <v>66</v>
      </c>
      <c r="C111" s="545">
        <v>4200</v>
      </c>
    </row>
    <row r="112" spans="1:3" ht="17.25" x14ac:dyDescent="0.25">
      <c r="A112" s="71" t="s">
        <v>513</v>
      </c>
      <c r="B112" s="393" t="s">
        <v>66</v>
      </c>
      <c r="C112" s="545">
        <v>8200</v>
      </c>
    </row>
    <row r="113" spans="1:3" ht="17.25" x14ac:dyDescent="0.25">
      <c r="A113" s="71" t="s">
        <v>514</v>
      </c>
      <c r="B113" s="393" t="s">
        <v>66</v>
      </c>
      <c r="C113" s="545">
        <v>12400</v>
      </c>
    </row>
    <row r="114" spans="1:3" ht="17.25" x14ac:dyDescent="0.25">
      <c r="A114" s="71" t="s">
        <v>515</v>
      </c>
      <c r="B114" s="393" t="s">
        <v>66</v>
      </c>
      <c r="C114" s="545">
        <v>8200</v>
      </c>
    </row>
    <row r="115" spans="1:3" ht="17.25" x14ac:dyDescent="0.25">
      <c r="A115" s="71" t="s">
        <v>516</v>
      </c>
      <c r="B115" s="393" t="s">
        <v>66</v>
      </c>
      <c r="C115" s="545">
        <v>12400</v>
      </c>
    </row>
    <row r="116" spans="1:3" ht="17.25" x14ac:dyDescent="0.25">
      <c r="A116" s="71" t="s">
        <v>517</v>
      </c>
      <c r="B116" s="393" t="s">
        <v>66</v>
      </c>
      <c r="C116" s="545">
        <v>20400</v>
      </c>
    </row>
    <row r="117" spans="1:3" x14ac:dyDescent="0.25">
      <c r="A117" s="306" t="s">
        <v>518</v>
      </c>
      <c r="B117" s="395" t="s">
        <v>66</v>
      </c>
      <c r="C117" s="546">
        <v>1100</v>
      </c>
    </row>
    <row r="118" spans="1:3" x14ac:dyDescent="0.25">
      <c r="A118" s="71" t="s">
        <v>519</v>
      </c>
      <c r="B118" s="393" t="s">
        <v>66</v>
      </c>
      <c r="C118" s="545">
        <v>1600</v>
      </c>
    </row>
    <row r="119" spans="1:3" ht="15" customHeight="1" x14ac:dyDescent="0.25">
      <c r="A119" s="71" t="s">
        <v>520</v>
      </c>
      <c r="B119" s="393" t="s">
        <v>66</v>
      </c>
      <c r="C119" s="545">
        <v>2000</v>
      </c>
    </row>
    <row r="120" spans="1:3" ht="15" customHeight="1" x14ac:dyDescent="0.25">
      <c r="A120" s="71" t="s">
        <v>521</v>
      </c>
      <c r="B120" s="393" t="s">
        <v>66</v>
      </c>
      <c r="C120" s="545">
        <v>2600</v>
      </c>
    </row>
    <row r="121" spans="1:3" ht="15" customHeight="1" x14ac:dyDescent="0.25">
      <c r="A121" s="71" t="s">
        <v>522</v>
      </c>
      <c r="B121" s="393" t="s">
        <v>66</v>
      </c>
      <c r="C121" s="545">
        <v>2800</v>
      </c>
    </row>
    <row r="122" spans="1:3" ht="15" customHeight="1" x14ac:dyDescent="0.25">
      <c r="A122" s="306" t="s">
        <v>523</v>
      </c>
      <c r="B122" s="395" t="s">
        <v>66</v>
      </c>
      <c r="C122" s="546">
        <v>2142.8571428571431</v>
      </c>
    </row>
    <row r="123" spans="1:3" ht="15" customHeight="1" x14ac:dyDescent="0.25">
      <c r="A123" s="71" t="s">
        <v>524</v>
      </c>
      <c r="B123" s="393" t="s">
        <v>66</v>
      </c>
      <c r="C123" s="545">
        <v>2540</v>
      </c>
    </row>
    <row r="124" spans="1:3" ht="15" customHeight="1" x14ac:dyDescent="0.25">
      <c r="A124" s="71" t="s">
        <v>525</v>
      </c>
      <c r="B124" s="393" t="s">
        <v>66</v>
      </c>
      <c r="C124" s="545">
        <v>3000</v>
      </c>
    </row>
    <row r="125" spans="1:3" ht="15" customHeight="1" x14ac:dyDescent="0.25">
      <c r="A125" s="71" t="s">
        <v>526</v>
      </c>
      <c r="B125" s="393" t="s">
        <v>66</v>
      </c>
      <c r="C125" s="545">
        <v>3821.4285714285716</v>
      </c>
    </row>
    <row r="126" spans="1:3" ht="15" customHeight="1" x14ac:dyDescent="0.25">
      <c r="A126" s="306" t="s">
        <v>527</v>
      </c>
      <c r="B126" s="395" t="s">
        <v>66</v>
      </c>
      <c r="C126" s="546">
        <v>2121.4285714285716</v>
      </c>
    </row>
    <row r="127" spans="1:3" ht="15" customHeight="1" x14ac:dyDescent="0.25">
      <c r="A127" s="71" t="s">
        <v>528</v>
      </c>
      <c r="B127" s="393" t="s">
        <v>66</v>
      </c>
      <c r="C127" s="545">
        <v>3071.4285714285716</v>
      </c>
    </row>
    <row r="128" spans="1:3" ht="15" customHeight="1" x14ac:dyDescent="0.25">
      <c r="A128" s="71" t="s">
        <v>529</v>
      </c>
      <c r="B128" s="393" t="s">
        <v>66</v>
      </c>
      <c r="C128" s="545">
        <v>4107.1428571428578</v>
      </c>
    </row>
    <row r="129" spans="1:3" ht="15" customHeight="1" x14ac:dyDescent="0.25">
      <c r="A129" s="306" t="s">
        <v>530</v>
      </c>
      <c r="B129" s="395" t="s">
        <v>66</v>
      </c>
      <c r="C129" s="546">
        <v>1642.8571428571429</v>
      </c>
    </row>
    <row r="130" spans="1:3" ht="15" customHeight="1" x14ac:dyDescent="0.25">
      <c r="A130" s="71" t="s">
        <v>531</v>
      </c>
      <c r="B130" s="393" t="s">
        <v>66</v>
      </c>
      <c r="C130" s="545">
        <v>2664.2857142857147</v>
      </c>
    </row>
    <row r="131" spans="1:3" ht="15" customHeight="1" x14ac:dyDescent="0.25">
      <c r="A131" s="71" t="s">
        <v>532</v>
      </c>
      <c r="B131" s="393" t="s">
        <v>66</v>
      </c>
      <c r="C131" s="545">
        <v>3000</v>
      </c>
    </row>
    <row r="132" spans="1:3" ht="15" customHeight="1" x14ac:dyDescent="0.25">
      <c r="A132" s="306" t="s">
        <v>533</v>
      </c>
      <c r="B132" s="395" t="s">
        <v>440</v>
      </c>
      <c r="C132" s="546">
        <v>290</v>
      </c>
    </row>
    <row r="133" spans="1:3" ht="15" customHeight="1" x14ac:dyDescent="0.25">
      <c r="A133" s="306" t="s">
        <v>534</v>
      </c>
      <c r="B133" s="395" t="s">
        <v>66</v>
      </c>
      <c r="C133" s="546">
        <v>750</v>
      </c>
    </row>
    <row r="134" spans="1:3" ht="15" customHeight="1" x14ac:dyDescent="0.25">
      <c r="A134" s="71" t="s">
        <v>535</v>
      </c>
      <c r="B134" s="393" t="s">
        <v>66</v>
      </c>
      <c r="C134" s="545">
        <v>1100</v>
      </c>
    </row>
    <row r="135" spans="1:3" ht="15" customHeight="1" x14ac:dyDescent="0.25">
      <c r="A135" s="71" t="s">
        <v>536</v>
      </c>
      <c r="B135" s="393" t="s">
        <v>66</v>
      </c>
      <c r="C135" s="545">
        <v>1200</v>
      </c>
    </row>
    <row r="136" spans="1:3" ht="15" customHeight="1" x14ac:dyDescent="0.25">
      <c r="A136" s="306" t="s">
        <v>537</v>
      </c>
      <c r="B136" s="395" t="s">
        <v>538</v>
      </c>
      <c r="C136" s="546">
        <v>300</v>
      </c>
    </row>
    <row r="137" spans="1:3" ht="15" customHeight="1" x14ac:dyDescent="0.25">
      <c r="A137" s="71" t="s">
        <v>539</v>
      </c>
      <c r="B137" s="393" t="s">
        <v>538</v>
      </c>
      <c r="C137" s="547">
        <v>150</v>
      </c>
    </row>
    <row r="138" spans="1:3" ht="15" customHeight="1" x14ac:dyDescent="0.25">
      <c r="A138" s="408" t="s">
        <v>540</v>
      </c>
      <c r="B138" s="409" t="s">
        <v>538</v>
      </c>
      <c r="C138" s="548">
        <v>33.515999999999998</v>
      </c>
    </row>
    <row r="139" spans="1:3" ht="15" customHeight="1" x14ac:dyDescent="0.25">
      <c r="A139" s="71" t="s">
        <v>541</v>
      </c>
      <c r="B139" s="397" t="s">
        <v>66</v>
      </c>
      <c r="C139" s="545">
        <v>1250</v>
      </c>
    </row>
    <row r="140" spans="1:3" ht="15" customHeight="1" x14ac:dyDescent="0.25">
      <c r="A140" s="402" t="s">
        <v>542</v>
      </c>
      <c r="B140" s="403" t="s">
        <v>115</v>
      </c>
      <c r="C140" s="549">
        <v>100</v>
      </c>
    </row>
    <row r="141" spans="1:3" ht="15" customHeight="1" x14ac:dyDescent="0.25">
      <c r="A141" s="306" t="s">
        <v>543</v>
      </c>
      <c r="B141" s="398" t="s">
        <v>66</v>
      </c>
      <c r="C141" s="546">
        <v>950</v>
      </c>
    </row>
    <row r="142" spans="1:3" ht="15" customHeight="1" x14ac:dyDescent="0.25">
      <c r="A142" s="71" t="s">
        <v>544</v>
      </c>
      <c r="B142" s="397" t="s">
        <v>66</v>
      </c>
      <c r="C142" s="545">
        <v>1250</v>
      </c>
    </row>
    <row r="143" spans="1:3" ht="15" customHeight="1" x14ac:dyDescent="0.25">
      <c r="A143" s="400" t="s">
        <v>545</v>
      </c>
      <c r="B143" s="404" t="s">
        <v>66</v>
      </c>
      <c r="C143" s="547">
        <v>1950</v>
      </c>
    </row>
    <row r="144" spans="1:3" ht="15" customHeight="1" x14ac:dyDescent="0.25">
      <c r="A144" s="306" t="s">
        <v>546</v>
      </c>
      <c r="B144" s="398" t="s">
        <v>66</v>
      </c>
      <c r="C144" s="546">
        <v>1600</v>
      </c>
    </row>
    <row r="145" spans="1:3" ht="15" customHeight="1" x14ac:dyDescent="0.25">
      <c r="A145" s="71" t="s">
        <v>547</v>
      </c>
      <c r="B145" s="397" t="s">
        <v>66</v>
      </c>
      <c r="C145" s="545">
        <v>2000</v>
      </c>
    </row>
    <row r="146" spans="1:3" ht="15" customHeight="1" x14ac:dyDescent="0.25">
      <c r="A146" s="71" t="s">
        <v>548</v>
      </c>
      <c r="B146" s="397" t="s">
        <v>66</v>
      </c>
      <c r="C146" s="545">
        <v>2500</v>
      </c>
    </row>
    <row r="147" spans="1:3" ht="15" customHeight="1" x14ac:dyDescent="0.25">
      <c r="A147" s="400" t="s">
        <v>549</v>
      </c>
      <c r="B147" s="404" t="s">
        <v>66</v>
      </c>
      <c r="C147" s="547">
        <v>3100</v>
      </c>
    </row>
    <row r="148" spans="1:3" ht="15" customHeight="1" x14ac:dyDescent="0.25">
      <c r="A148" s="306" t="s">
        <v>550</v>
      </c>
      <c r="B148" s="398" t="s">
        <v>66</v>
      </c>
      <c r="C148" s="546">
        <v>200</v>
      </c>
    </row>
    <row r="149" spans="1:3" ht="15" customHeight="1" x14ac:dyDescent="0.25">
      <c r="A149" s="71" t="s">
        <v>551</v>
      </c>
      <c r="B149" s="397" t="s">
        <v>66</v>
      </c>
      <c r="C149" s="545">
        <v>250</v>
      </c>
    </row>
    <row r="150" spans="1:3" ht="15" customHeight="1" x14ac:dyDescent="0.25">
      <c r="A150" s="400" t="s">
        <v>552</v>
      </c>
      <c r="B150" s="404" t="s">
        <v>66</v>
      </c>
      <c r="C150" s="547">
        <v>310</v>
      </c>
    </row>
    <row r="151" spans="1:3" ht="15" customHeight="1" x14ac:dyDescent="0.25">
      <c r="A151" s="306" t="s">
        <v>553</v>
      </c>
      <c r="B151" s="398" t="s">
        <v>66</v>
      </c>
      <c r="C151" s="546">
        <v>2000</v>
      </c>
    </row>
    <row r="152" spans="1:3" ht="15" customHeight="1" x14ac:dyDescent="0.25">
      <c r="A152" s="71" t="s">
        <v>554</v>
      </c>
      <c r="B152" s="397" t="s">
        <v>66</v>
      </c>
      <c r="C152" s="545">
        <v>2500</v>
      </c>
    </row>
    <row r="153" spans="1:3" ht="15" customHeight="1" x14ac:dyDescent="0.25">
      <c r="A153" s="71" t="s">
        <v>555</v>
      </c>
      <c r="B153" s="397" t="s">
        <v>66</v>
      </c>
      <c r="C153" s="545">
        <v>3500</v>
      </c>
    </row>
    <row r="154" spans="1:3" ht="15" customHeight="1" x14ac:dyDescent="0.25">
      <c r="A154" s="400" t="s">
        <v>556</v>
      </c>
      <c r="B154" s="404" t="s">
        <v>66</v>
      </c>
      <c r="C154" s="547">
        <v>3600</v>
      </c>
    </row>
    <row r="155" spans="1:3" ht="15" customHeight="1" x14ac:dyDescent="0.25">
      <c r="A155" s="306" t="s">
        <v>557</v>
      </c>
      <c r="B155" s="398" t="s">
        <v>66</v>
      </c>
      <c r="C155" s="546">
        <v>600</v>
      </c>
    </row>
    <row r="156" spans="1:3" ht="15" customHeight="1" x14ac:dyDescent="0.25">
      <c r="A156" s="71" t="s">
        <v>558</v>
      </c>
      <c r="B156" s="397" t="s">
        <v>66</v>
      </c>
      <c r="C156" s="545">
        <v>750</v>
      </c>
    </row>
    <row r="157" spans="1:3" ht="15" customHeight="1" x14ac:dyDescent="0.25">
      <c r="A157" s="400" t="s">
        <v>559</v>
      </c>
      <c r="B157" s="404" t="s">
        <v>66</v>
      </c>
      <c r="C157" s="547">
        <v>930</v>
      </c>
    </row>
    <row r="158" spans="1:3" ht="15" customHeight="1" x14ac:dyDescent="0.25">
      <c r="A158" s="380" t="s">
        <v>560</v>
      </c>
      <c r="B158" s="405" t="s">
        <v>66</v>
      </c>
      <c r="C158" s="546">
        <v>1300</v>
      </c>
    </row>
    <row r="159" spans="1:3" ht="15" customHeight="1" x14ac:dyDescent="0.25">
      <c r="A159" s="349" t="s">
        <v>561</v>
      </c>
      <c r="B159" s="399" t="s">
        <v>66</v>
      </c>
      <c r="C159" s="545">
        <v>1400</v>
      </c>
    </row>
    <row r="160" spans="1:3" ht="15" customHeight="1" x14ac:dyDescent="0.25">
      <c r="A160" s="406" t="s">
        <v>562</v>
      </c>
      <c r="B160" s="407" t="s">
        <v>66</v>
      </c>
      <c r="C160" s="547">
        <v>1500</v>
      </c>
    </row>
    <row r="161" spans="1:3" ht="15" customHeight="1" x14ac:dyDescent="0.25">
      <c r="A161" s="306" t="s">
        <v>563</v>
      </c>
      <c r="B161" s="398" t="s">
        <v>66</v>
      </c>
      <c r="C161" s="550">
        <v>13250</v>
      </c>
    </row>
    <row r="162" spans="1:3" ht="15" customHeight="1" x14ac:dyDescent="0.25">
      <c r="A162" s="71" t="s">
        <v>564</v>
      </c>
      <c r="B162" s="397" t="s">
        <v>66</v>
      </c>
      <c r="C162" s="551">
        <v>15260</v>
      </c>
    </row>
    <row r="163" spans="1:3" ht="15" customHeight="1" x14ac:dyDescent="0.25">
      <c r="A163" s="400" t="s">
        <v>565</v>
      </c>
      <c r="B163" s="404" t="s">
        <v>66</v>
      </c>
      <c r="C163" s="552">
        <v>18268</v>
      </c>
    </row>
    <row r="164" spans="1:3" ht="15" customHeight="1" x14ac:dyDescent="0.25">
      <c r="A164" s="402" t="s">
        <v>566</v>
      </c>
      <c r="B164" s="403" t="s">
        <v>115</v>
      </c>
      <c r="C164" s="548">
        <v>26.38</v>
      </c>
    </row>
    <row r="165" spans="1:3" ht="15" customHeight="1" thickBot="1" x14ac:dyDescent="0.3">
      <c r="A165" s="50" t="s">
        <v>381</v>
      </c>
      <c r="B165" s="401" t="s">
        <v>66</v>
      </c>
      <c r="C165" s="553">
        <v>12598</v>
      </c>
    </row>
  </sheetData>
  <sheetProtection sheet="1" objects="1" scenarios="1"/>
  <phoneticPr fontId="52"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2D96B36867294E9876435959E70F62" ma:contentTypeVersion="2" ma:contentTypeDescription="Create a new document." ma:contentTypeScope="" ma:versionID="4356eddb8696cbc14a97003f31351848">
  <xsd:schema xmlns:xsd="http://www.w3.org/2001/XMLSchema" xmlns:xs="http://www.w3.org/2001/XMLSchema" xmlns:p="http://schemas.microsoft.com/office/2006/metadata/properties" xmlns:ns3="cf5ac79b-09b5-4d04-bcd7-515c4bbe12a7" targetNamespace="http://schemas.microsoft.com/office/2006/metadata/properties" ma:root="true" ma:fieldsID="19226d7bcd45f5096849f2a91f98f740" ns3:_="">
    <xsd:import namespace="cf5ac79b-09b5-4d04-bcd7-515c4bbe12a7"/>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5ac79b-09b5-4d04-bcd7-515c4bbe1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W 2 c z V j d q w M S k A A A A 9 g A A A B I A H A B D b 2 5 m a W c v U G F j a 2 F n Z S 5 4 b W w g o h g A K K A U A A A A A A A A A A A A A A A A A A A A A A A A A A A A h Y 9 N C s I w G E S v U r J v / o o g 5 W u 6 E H c W h I K 4 D W m s w T a V J j W 9 m w u P 5 B W s a N W d y 3 n z F j P 3 6 w 3 y s W 2 i i + 6 d 6 W y G G K Y o 0 l Z 1 l b F 1 h g Z / i J c o F 7 C V 6 i R r H U 2 y d e n o q g w d v T + n h I Q Q c E h w 1 9 e E U 8 r I v t i U 6 q h b i T 6 y + S / H x j o v r d J I w O 4 1 R n D M G M c L n m A K Z I Z Q G P s V + L T 3 2 f 5 A W A 2 N H 3 o t t I v X J Z A 5 A n l / E A 9 Q S w M E F A A C A A g A W 2 c z 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t n M 1 Y o i k e 4 D g A A A B E A A A A T A B w A R m 9 y b X V s Y X M v U 2 V j d G l v b j E u b S C i G A A o o B Q A A A A A A A A A A A A A A A A A A A A A A A A A A A A r T k 0 u y c z P U w i G 0 I b W A F B L A Q I t A B Q A A g A I A F t n M 1 Y 3 a s D E p A A A A P Y A A A A S A A A A A A A A A A A A A A A A A A A A A A B D b 2 5 m a W c v U G F j a 2 F n Z S 5 4 b W x Q S w E C L Q A U A A I A C A B b Z z N W D 8 r p q 6 Q A A A D p A A A A E w A A A A A A A A A A A A A A A A D w A A A A W 0 N v b n R l b n R f V H l w Z X N d L n h t b F B L A Q I t A B Q A A g A I A F t n M 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0 w e 9 O d 5 z y S I R S 2 1 0 c Y H C W A A A A A A I A A A A A A A N m A A D A A A A A E A A A A A 9 2 p 7 1 K n c r l 3 R 1 p G N K Z U 5 c A A A A A B I A A A K A A A A A Q A A A A n j p r n l W + s g L D o 0 H K w 5 9 x 3 F A A A A C Z M L 3 q A I I Q X S J 1 n B n M k 6 s K j a j Y b O Q f 2 s z i a G R 6 w t f r T n z g 0 v p g a 9 p H O 0 c s G w M Y a G G c L u x x X o k f u D B T 3 t 5 P z a M g b s W G q a a 0 u t Y o Z 3 K 9 V l g p u B Q A A A B q K M 6 N e 3 l 7 W s x x E o M E y q H O n g M p 7 g = = < / 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855D646-206C-4118-882D-5138108EFC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5ac79b-09b5-4d04-bcd7-515c4bbe12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A5B3A3-3A27-40A8-B06D-B8DBEC1A03C1}">
  <ds:schemaRefs>
    <ds:schemaRef ds:uri="http://schemas.microsoft.com/sharepoint/v3/contenttype/forms"/>
  </ds:schemaRefs>
</ds:datastoreItem>
</file>

<file path=customXml/itemProps3.xml><?xml version="1.0" encoding="utf-8"?>
<ds:datastoreItem xmlns:ds="http://schemas.openxmlformats.org/officeDocument/2006/customXml" ds:itemID="{C5E4E4E4-BD88-44E5-B55A-99ED16F05C43}">
  <ds:schemaRefs>
    <ds:schemaRef ds:uri="http://schemas.microsoft.com/DataMashup"/>
  </ds:schemaRefs>
</ds:datastoreItem>
</file>

<file path=customXml/itemProps4.xml><?xml version="1.0" encoding="utf-8"?>
<ds:datastoreItem xmlns:ds="http://schemas.openxmlformats.org/officeDocument/2006/customXml" ds:itemID="{5DA5FF66-ABC6-4E6C-85F8-63E2B1B357B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0 - LÉEME </vt:lpstr>
      <vt:lpstr>0 - BASESP</vt:lpstr>
      <vt:lpstr>2.2 - AE+DEC2e</vt:lpstr>
      <vt:lpstr>PRECIOS OC (REF)</vt:lpstr>
      <vt:lpstr>PRECIOS EEM (REF)</vt:lpstr>
      <vt:lpstr>'PRECIOS EEM (REF)'!AGITADORES</vt:lpstr>
      <vt:lpstr>'PRECIOS EEM (REF)'!CANAL_PARSHALL</vt:lpstr>
      <vt:lpstr>'PRECIOS EEM (REF)'!COMPUERTA_AUTOMÁTICA</vt:lpstr>
      <vt:lpstr>'PRECIOS EEM (REF)'!PUENTE_DECANTADOR</vt:lpstr>
      <vt:lpstr>'PRECIOS EEM (REF)'!PUENTE_GRUA</vt:lpstr>
      <vt:lpstr>'PRECIOS EEM (REF)'!REJA_FINOS_AUTOMÁTICA</vt:lpstr>
      <vt:lpstr>'PRECIOS EEM (REF)'!REJA_GRUESOS_AUTOMÁTICA</vt:lpstr>
      <vt:lpstr>'PRECIOS EEM (REF)'!SOPLANTES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Tejero Andrés</dc:creator>
  <cp:keywords/>
  <dc:description/>
  <cp:lastModifiedBy>Ferrer Medina, Yasmina</cp:lastModifiedBy>
  <cp:revision/>
  <dcterms:created xsi:type="dcterms:W3CDTF">2022-06-06T06:55:44Z</dcterms:created>
  <dcterms:modified xsi:type="dcterms:W3CDTF">2023-10-30T10:28:44Z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0x010100892D96B36867294E9876435959E70F62</vt:lpwstr>
  </property>
</Properties>
</file>